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255"/>
  </bookViews>
  <sheets>
    <sheet name="培生-Southeast University - seucn" sheetId="1" r:id="rId1"/>
  </sheets>
  <calcPr calcId="162913"/>
</workbook>
</file>

<file path=xl/calcChain.xml><?xml version="1.0" encoding="utf-8"?>
<calcChain xmlns="http://schemas.openxmlformats.org/spreadsheetml/2006/main">
  <c r="C2" i="1" l="1"/>
  <c r="D2" i="1"/>
  <c r="C3" i="1"/>
  <c r="D3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C210" i="1"/>
  <c r="D210" i="1"/>
  <c r="C211" i="1"/>
  <c r="D211" i="1"/>
  <c r="C212" i="1"/>
  <c r="D212" i="1"/>
  <c r="C213" i="1"/>
  <c r="D213" i="1"/>
  <c r="C214" i="1"/>
  <c r="D214" i="1"/>
  <c r="C215" i="1"/>
  <c r="D215" i="1"/>
  <c r="C216" i="1"/>
  <c r="D216" i="1"/>
  <c r="C217" i="1"/>
  <c r="D217" i="1"/>
  <c r="C218" i="1"/>
  <c r="D218" i="1"/>
  <c r="C219" i="1"/>
  <c r="D219" i="1"/>
  <c r="C220" i="1"/>
  <c r="D220" i="1"/>
  <c r="C221" i="1"/>
  <c r="D221" i="1"/>
  <c r="C222" i="1"/>
  <c r="D222" i="1"/>
  <c r="C223" i="1"/>
  <c r="D223" i="1"/>
  <c r="C224" i="1"/>
  <c r="D224" i="1"/>
  <c r="C225" i="1"/>
  <c r="D225" i="1"/>
  <c r="C226" i="1"/>
  <c r="D226" i="1"/>
  <c r="C227" i="1"/>
  <c r="D227" i="1"/>
  <c r="C228" i="1"/>
  <c r="D228" i="1"/>
  <c r="C229" i="1"/>
  <c r="D229" i="1"/>
  <c r="C230" i="1"/>
  <c r="D230" i="1"/>
  <c r="C231" i="1"/>
  <c r="D231" i="1"/>
  <c r="C232" i="1"/>
  <c r="D232" i="1"/>
  <c r="C233" i="1"/>
  <c r="D233" i="1"/>
  <c r="C234" i="1"/>
  <c r="D234" i="1"/>
  <c r="C235" i="1"/>
  <c r="D235" i="1"/>
  <c r="C236" i="1"/>
  <c r="D236" i="1"/>
  <c r="C237" i="1"/>
  <c r="D237" i="1"/>
  <c r="C238" i="1"/>
  <c r="D238" i="1"/>
  <c r="C239" i="1"/>
  <c r="D239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46" i="1"/>
  <c r="D246" i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  <c r="C260" i="1"/>
  <c r="D260" i="1"/>
  <c r="C261" i="1"/>
  <c r="D261" i="1"/>
  <c r="C262" i="1"/>
  <c r="D262" i="1"/>
  <c r="C263" i="1"/>
  <c r="D263" i="1"/>
  <c r="C264" i="1"/>
  <c r="D264" i="1"/>
  <c r="C265" i="1"/>
  <c r="D265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C274" i="1"/>
  <c r="D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C297" i="1"/>
  <c r="D297" i="1"/>
  <c r="C298" i="1"/>
  <c r="D298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C317" i="1"/>
  <c r="D317" i="1"/>
  <c r="C318" i="1"/>
  <c r="D318" i="1"/>
  <c r="C319" i="1"/>
  <c r="D319" i="1"/>
  <c r="C320" i="1"/>
  <c r="D320" i="1"/>
  <c r="C321" i="1"/>
  <c r="D321" i="1"/>
  <c r="C322" i="1"/>
  <c r="D322" i="1"/>
  <c r="C323" i="1"/>
  <c r="D323" i="1"/>
  <c r="C324" i="1"/>
  <c r="D324" i="1"/>
  <c r="C325" i="1"/>
  <c r="D325" i="1"/>
  <c r="C326" i="1"/>
  <c r="D326" i="1"/>
  <c r="C327" i="1"/>
  <c r="D327" i="1"/>
  <c r="C328" i="1"/>
  <c r="D328" i="1"/>
  <c r="C329" i="1"/>
  <c r="D329" i="1"/>
  <c r="C330" i="1"/>
  <c r="D330" i="1"/>
  <c r="C331" i="1"/>
  <c r="D331" i="1"/>
  <c r="C332" i="1"/>
  <c r="D332" i="1"/>
  <c r="C333" i="1"/>
  <c r="D333" i="1"/>
  <c r="C334" i="1"/>
  <c r="D334" i="1"/>
  <c r="C335" i="1"/>
  <c r="D335" i="1"/>
  <c r="C336" i="1"/>
  <c r="D336" i="1"/>
  <c r="C337" i="1"/>
  <c r="D337" i="1"/>
  <c r="C338" i="1"/>
  <c r="D338" i="1"/>
  <c r="C339" i="1"/>
  <c r="D339" i="1"/>
  <c r="C340" i="1"/>
  <c r="D340" i="1"/>
  <c r="C341" i="1"/>
  <c r="D341" i="1"/>
  <c r="C342" i="1"/>
  <c r="D342" i="1"/>
  <c r="C343" i="1"/>
  <c r="D343" i="1"/>
  <c r="C344" i="1"/>
  <c r="D344" i="1"/>
  <c r="C345" i="1"/>
  <c r="D345" i="1"/>
  <c r="C346" i="1"/>
  <c r="D346" i="1"/>
  <c r="C347" i="1"/>
  <c r="D347" i="1"/>
  <c r="C348" i="1"/>
  <c r="D348" i="1"/>
  <c r="C349" i="1"/>
  <c r="D349" i="1"/>
  <c r="C350" i="1"/>
  <c r="D350" i="1"/>
  <c r="C351" i="1"/>
  <c r="D351" i="1"/>
  <c r="C352" i="1"/>
  <c r="D352" i="1"/>
  <c r="C353" i="1"/>
  <c r="D353" i="1"/>
  <c r="C354" i="1"/>
  <c r="D354" i="1"/>
  <c r="C355" i="1"/>
  <c r="D355" i="1"/>
  <c r="C356" i="1"/>
  <c r="D356" i="1"/>
  <c r="C357" i="1"/>
  <c r="D357" i="1"/>
  <c r="C358" i="1"/>
  <c r="D358" i="1"/>
  <c r="C359" i="1"/>
  <c r="D359" i="1"/>
  <c r="C360" i="1"/>
  <c r="D360" i="1"/>
  <c r="C361" i="1"/>
  <c r="D361" i="1"/>
  <c r="C362" i="1"/>
  <c r="D362" i="1"/>
  <c r="C363" i="1"/>
  <c r="D363" i="1"/>
  <c r="C364" i="1"/>
  <c r="D364" i="1"/>
  <c r="C365" i="1"/>
  <c r="D365" i="1"/>
  <c r="C366" i="1"/>
  <c r="D366" i="1"/>
  <c r="C367" i="1"/>
  <c r="D367" i="1"/>
  <c r="C368" i="1"/>
  <c r="D368" i="1"/>
  <c r="C369" i="1"/>
  <c r="D369" i="1"/>
  <c r="C370" i="1"/>
  <c r="D370" i="1"/>
  <c r="C371" i="1"/>
  <c r="D371" i="1"/>
  <c r="C372" i="1"/>
  <c r="D372" i="1"/>
  <c r="C373" i="1"/>
  <c r="D373" i="1"/>
  <c r="C374" i="1"/>
  <c r="D374" i="1"/>
  <c r="C375" i="1"/>
  <c r="D375" i="1"/>
  <c r="C376" i="1"/>
  <c r="D376" i="1"/>
  <c r="C377" i="1"/>
  <c r="D377" i="1"/>
  <c r="C378" i="1"/>
  <c r="D378" i="1"/>
  <c r="C379" i="1"/>
  <c r="D379" i="1"/>
  <c r="C380" i="1"/>
  <c r="D380" i="1"/>
  <c r="C381" i="1"/>
  <c r="D381" i="1"/>
  <c r="C382" i="1"/>
  <c r="D382" i="1"/>
  <c r="C383" i="1"/>
  <c r="D383" i="1"/>
  <c r="C384" i="1"/>
  <c r="D384" i="1"/>
  <c r="C385" i="1"/>
  <c r="D385" i="1"/>
  <c r="C386" i="1"/>
  <c r="D386" i="1"/>
  <c r="C387" i="1"/>
  <c r="D387" i="1"/>
  <c r="C388" i="1"/>
  <c r="D388" i="1"/>
  <c r="C389" i="1"/>
  <c r="D389" i="1"/>
  <c r="C390" i="1"/>
  <c r="D390" i="1"/>
  <c r="C391" i="1"/>
  <c r="D391" i="1"/>
  <c r="C392" i="1"/>
  <c r="D392" i="1"/>
  <c r="C393" i="1"/>
  <c r="D393" i="1"/>
  <c r="C394" i="1"/>
  <c r="D394" i="1"/>
  <c r="C395" i="1"/>
  <c r="D395" i="1"/>
  <c r="C396" i="1"/>
  <c r="D396" i="1"/>
  <c r="C397" i="1"/>
  <c r="D397" i="1"/>
  <c r="C398" i="1"/>
  <c r="D398" i="1"/>
  <c r="C399" i="1"/>
  <c r="D399" i="1"/>
  <c r="C400" i="1"/>
  <c r="D400" i="1"/>
  <c r="C401" i="1"/>
  <c r="D401" i="1"/>
  <c r="C402" i="1"/>
  <c r="D402" i="1"/>
  <c r="C403" i="1"/>
  <c r="D403" i="1"/>
  <c r="C404" i="1"/>
  <c r="D404" i="1"/>
  <c r="C405" i="1"/>
  <c r="D405" i="1"/>
  <c r="C406" i="1"/>
  <c r="D406" i="1"/>
  <c r="C407" i="1"/>
  <c r="D407" i="1"/>
  <c r="C408" i="1"/>
  <c r="D408" i="1"/>
  <c r="C409" i="1"/>
  <c r="D409" i="1"/>
  <c r="C410" i="1"/>
  <c r="D410" i="1"/>
  <c r="C411" i="1"/>
  <c r="D411" i="1"/>
  <c r="C412" i="1"/>
  <c r="D412" i="1"/>
  <c r="C413" i="1"/>
  <c r="D413" i="1"/>
  <c r="C414" i="1"/>
  <c r="D414" i="1"/>
  <c r="C415" i="1"/>
  <c r="D415" i="1"/>
  <c r="C416" i="1"/>
  <c r="D416" i="1"/>
  <c r="C417" i="1"/>
  <c r="D417" i="1"/>
  <c r="C418" i="1"/>
  <c r="D418" i="1"/>
  <c r="C419" i="1"/>
  <c r="D419" i="1"/>
  <c r="C420" i="1"/>
  <c r="D420" i="1"/>
  <c r="C421" i="1"/>
  <c r="D421" i="1"/>
  <c r="C422" i="1"/>
  <c r="D422" i="1"/>
  <c r="C423" i="1"/>
  <c r="D423" i="1"/>
  <c r="C424" i="1"/>
  <c r="D424" i="1"/>
  <c r="C425" i="1"/>
  <c r="D425" i="1"/>
  <c r="C426" i="1"/>
  <c r="D426" i="1"/>
  <c r="C427" i="1"/>
  <c r="D427" i="1"/>
  <c r="C428" i="1"/>
  <c r="D428" i="1"/>
  <c r="C429" i="1"/>
  <c r="D429" i="1"/>
  <c r="C430" i="1"/>
  <c r="D430" i="1"/>
  <c r="C431" i="1"/>
  <c r="D431" i="1"/>
  <c r="C432" i="1"/>
  <c r="D432" i="1"/>
  <c r="C433" i="1"/>
  <c r="D433" i="1"/>
  <c r="C434" i="1"/>
  <c r="D434" i="1"/>
  <c r="C435" i="1"/>
  <c r="D435" i="1"/>
  <c r="C436" i="1"/>
  <c r="D436" i="1"/>
  <c r="C437" i="1"/>
  <c r="D437" i="1"/>
  <c r="C438" i="1"/>
  <c r="D438" i="1"/>
  <c r="C439" i="1"/>
  <c r="D439" i="1"/>
  <c r="C440" i="1"/>
  <c r="D440" i="1"/>
  <c r="C441" i="1"/>
  <c r="D441" i="1"/>
  <c r="C442" i="1"/>
  <c r="D442" i="1"/>
  <c r="C443" i="1"/>
  <c r="D443" i="1"/>
  <c r="C444" i="1"/>
  <c r="D444" i="1"/>
  <c r="C445" i="1"/>
  <c r="D445" i="1"/>
  <c r="C446" i="1"/>
  <c r="D446" i="1"/>
  <c r="C447" i="1"/>
  <c r="D447" i="1"/>
  <c r="C448" i="1"/>
  <c r="D448" i="1"/>
  <c r="C449" i="1"/>
  <c r="D449" i="1"/>
  <c r="C450" i="1"/>
  <c r="D450" i="1"/>
  <c r="C451" i="1"/>
  <c r="D451" i="1"/>
  <c r="C452" i="1"/>
  <c r="D452" i="1"/>
  <c r="C453" i="1"/>
  <c r="D453" i="1"/>
  <c r="C454" i="1"/>
  <c r="D454" i="1"/>
  <c r="C455" i="1"/>
  <c r="D455" i="1"/>
  <c r="C456" i="1"/>
  <c r="D456" i="1"/>
  <c r="C457" i="1"/>
  <c r="D457" i="1"/>
  <c r="C458" i="1"/>
  <c r="D458" i="1"/>
  <c r="C459" i="1"/>
  <c r="D459" i="1"/>
  <c r="C460" i="1"/>
  <c r="D460" i="1"/>
  <c r="C461" i="1"/>
  <c r="D461" i="1"/>
  <c r="C462" i="1"/>
  <c r="D462" i="1"/>
  <c r="C463" i="1"/>
  <c r="D463" i="1"/>
  <c r="C464" i="1"/>
  <c r="D464" i="1"/>
  <c r="C465" i="1"/>
  <c r="D465" i="1"/>
  <c r="C466" i="1"/>
  <c r="D466" i="1"/>
  <c r="C467" i="1"/>
  <c r="D467" i="1"/>
  <c r="C468" i="1"/>
  <c r="D468" i="1"/>
  <c r="C469" i="1"/>
  <c r="D469" i="1"/>
  <c r="C470" i="1"/>
  <c r="D470" i="1"/>
  <c r="C471" i="1"/>
  <c r="D471" i="1"/>
  <c r="C472" i="1"/>
  <c r="D472" i="1"/>
  <c r="C473" i="1"/>
  <c r="D473" i="1"/>
  <c r="C474" i="1"/>
  <c r="D474" i="1"/>
  <c r="C475" i="1"/>
  <c r="D475" i="1"/>
  <c r="C476" i="1"/>
  <c r="D476" i="1"/>
  <c r="C477" i="1"/>
  <c r="D477" i="1"/>
  <c r="C478" i="1"/>
  <c r="D478" i="1"/>
  <c r="C479" i="1"/>
  <c r="D479" i="1"/>
  <c r="C480" i="1"/>
  <c r="D480" i="1"/>
  <c r="C481" i="1"/>
  <c r="D481" i="1"/>
  <c r="C482" i="1"/>
  <c r="D482" i="1"/>
  <c r="C483" i="1"/>
  <c r="D483" i="1"/>
  <c r="C484" i="1"/>
  <c r="D484" i="1"/>
  <c r="C485" i="1"/>
  <c r="D485" i="1"/>
  <c r="C486" i="1"/>
  <c r="D486" i="1"/>
  <c r="C487" i="1"/>
  <c r="D487" i="1"/>
  <c r="C488" i="1"/>
  <c r="D488" i="1"/>
  <c r="C489" i="1"/>
  <c r="D489" i="1"/>
  <c r="C490" i="1"/>
  <c r="D490" i="1"/>
  <c r="C491" i="1"/>
  <c r="D491" i="1"/>
  <c r="C492" i="1"/>
  <c r="D492" i="1"/>
  <c r="C493" i="1"/>
  <c r="D493" i="1"/>
  <c r="C494" i="1"/>
  <c r="D494" i="1"/>
  <c r="C495" i="1"/>
  <c r="D495" i="1"/>
  <c r="C496" i="1"/>
  <c r="D496" i="1"/>
  <c r="C497" i="1"/>
  <c r="D497" i="1"/>
  <c r="C498" i="1"/>
  <c r="D498" i="1"/>
  <c r="C499" i="1"/>
  <c r="D499" i="1"/>
  <c r="C500" i="1"/>
  <c r="D500" i="1"/>
  <c r="C501" i="1"/>
  <c r="D501" i="1"/>
  <c r="C502" i="1"/>
  <c r="D502" i="1"/>
  <c r="C503" i="1"/>
  <c r="D503" i="1"/>
  <c r="C504" i="1"/>
  <c r="D504" i="1"/>
  <c r="C505" i="1"/>
  <c r="D505" i="1"/>
  <c r="C506" i="1"/>
  <c r="D506" i="1"/>
  <c r="C507" i="1"/>
  <c r="D507" i="1"/>
  <c r="C508" i="1"/>
  <c r="D508" i="1"/>
  <c r="C509" i="1"/>
  <c r="D509" i="1"/>
  <c r="C510" i="1"/>
  <c r="D510" i="1"/>
  <c r="C511" i="1"/>
  <c r="D511" i="1"/>
  <c r="C512" i="1"/>
  <c r="D512" i="1"/>
  <c r="C513" i="1"/>
  <c r="D513" i="1"/>
  <c r="C514" i="1"/>
  <c r="D514" i="1"/>
  <c r="C515" i="1"/>
  <c r="D515" i="1"/>
  <c r="C516" i="1"/>
  <c r="D516" i="1"/>
  <c r="C517" i="1"/>
  <c r="D517" i="1"/>
  <c r="C518" i="1"/>
  <c r="D518" i="1"/>
  <c r="C519" i="1"/>
  <c r="D519" i="1"/>
  <c r="C520" i="1"/>
  <c r="D520" i="1"/>
  <c r="C521" i="1"/>
  <c r="D521" i="1"/>
  <c r="C522" i="1"/>
  <c r="D522" i="1"/>
  <c r="C523" i="1"/>
  <c r="D523" i="1"/>
  <c r="C524" i="1"/>
  <c r="D524" i="1"/>
  <c r="C525" i="1"/>
  <c r="D525" i="1"/>
  <c r="C526" i="1"/>
  <c r="D526" i="1"/>
  <c r="C527" i="1"/>
  <c r="D527" i="1"/>
  <c r="C528" i="1"/>
  <c r="D528" i="1"/>
  <c r="C529" i="1"/>
  <c r="D529" i="1"/>
  <c r="C530" i="1"/>
  <c r="D530" i="1"/>
  <c r="C531" i="1"/>
  <c r="D531" i="1"/>
  <c r="C532" i="1"/>
  <c r="D532" i="1"/>
  <c r="C533" i="1"/>
  <c r="D533" i="1"/>
  <c r="C534" i="1"/>
  <c r="D534" i="1"/>
  <c r="C535" i="1"/>
  <c r="D535" i="1"/>
  <c r="C536" i="1"/>
  <c r="D536" i="1"/>
  <c r="C537" i="1"/>
  <c r="D537" i="1"/>
  <c r="C538" i="1"/>
  <c r="D538" i="1"/>
  <c r="C539" i="1"/>
  <c r="D539" i="1"/>
  <c r="C540" i="1"/>
  <c r="D540" i="1"/>
  <c r="C541" i="1"/>
  <c r="D541" i="1"/>
  <c r="C542" i="1"/>
  <c r="D542" i="1"/>
  <c r="C543" i="1"/>
  <c r="D543" i="1"/>
  <c r="C544" i="1"/>
  <c r="D544" i="1"/>
  <c r="C545" i="1"/>
  <c r="D545" i="1"/>
  <c r="C546" i="1"/>
  <c r="D546" i="1"/>
  <c r="C547" i="1"/>
  <c r="D547" i="1"/>
  <c r="C548" i="1"/>
  <c r="D548" i="1"/>
  <c r="C549" i="1"/>
  <c r="D549" i="1"/>
  <c r="C550" i="1"/>
  <c r="D550" i="1"/>
  <c r="C551" i="1"/>
  <c r="D551" i="1"/>
  <c r="C552" i="1"/>
  <c r="D552" i="1"/>
  <c r="C553" i="1"/>
  <c r="D553" i="1"/>
  <c r="C554" i="1"/>
  <c r="D554" i="1"/>
  <c r="C555" i="1"/>
  <c r="D555" i="1"/>
  <c r="C556" i="1"/>
  <c r="D556" i="1"/>
  <c r="C557" i="1"/>
  <c r="D557" i="1"/>
  <c r="C558" i="1"/>
  <c r="D558" i="1"/>
  <c r="C559" i="1"/>
  <c r="D559" i="1"/>
  <c r="C560" i="1"/>
  <c r="D560" i="1"/>
  <c r="C561" i="1"/>
  <c r="D561" i="1"/>
  <c r="C562" i="1"/>
  <c r="D562" i="1"/>
  <c r="C563" i="1"/>
  <c r="D563" i="1"/>
  <c r="C564" i="1"/>
  <c r="D564" i="1"/>
  <c r="C565" i="1"/>
  <c r="D565" i="1"/>
  <c r="C566" i="1"/>
  <c r="D566" i="1"/>
  <c r="C567" i="1"/>
  <c r="D567" i="1"/>
  <c r="C568" i="1"/>
  <c r="D568" i="1"/>
  <c r="C569" i="1"/>
  <c r="D569" i="1"/>
  <c r="C570" i="1"/>
  <c r="D570" i="1"/>
  <c r="C571" i="1"/>
  <c r="D571" i="1"/>
  <c r="C572" i="1"/>
  <c r="D572" i="1"/>
  <c r="C573" i="1"/>
  <c r="D573" i="1"/>
  <c r="C574" i="1"/>
  <c r="D574" i="1"/>
  <c r="C575" i="1"/>
  <c r="D575" i="1"/>
  <c r="C576" i="1"/>
  <c r="D576" i="1"/>
  <c r="C577" i="1"/>
  <c r="D577" i="1"/>
  <c r="C578" i="1"/>
  <c r="D578" i="1"/>
  <c r="C579" i="1"/>
  <c r="D579" i="1"/>
  <c r="C580" i="1"/>
  <c r="D580" i="1"/>
  <c r="C581" i="1"/>
  <c r="D581" i="1"/>
  <c r="C582" i="1"/>
  <c r="D582" i="1"/>
  <c r="C583" i="1"/>
  <c r="D583" i="1"/>
  <c r="C584" i="1"/>
  <c r="D584" i="1"/>
  <c r="C585" i="1"/>
  <c r="D585" i="1"/>
  <c r="C586" i="1"/>
  <c r="D586" i="1"/>
  <c r="C587" i="1"/>
  <c r="D587" i="1"/>
  <c r="C588" i="1"/>
  <c r="D588" i="1"/>
  <c r="C589" i="1"/>
  <c r="D589" i="1"/>
  <c r="C590" i="1"/>
  <c r="D590" i="1"/>
  <c r="C591" i="1"/>
  <c r="D591" i="1"/>
  <c r="C592" i="1"/>
  <c r="D592" i="1"/>
  <c r="C593" i="1"/>
  <c r="D593" i="1"/>
  <c r="C594" i="1"/>
  <c r="D594" i="1"/>
  <c r="C595" i="1"/>
  <c r="D595" i="1"/>
  <c r="C596" i="1"/>
  <c r="D596" i="1"/>
  <c r="C597" i="1"/>
  <c r="D597" i="1"/>
  <c r="C598" i="1"/>
  <c r="D598" i="1"/>
  <c r="C599" i="1"/>
  <c r="D599" i="1"/>
  <c r="C600" i="1"/>
  <c r="D600" i="1"/>
  <c r="C601" i="1"/>
  <c r="D601" i="1"/>
  <c r="C602" i="1"/>
  <c r="D602" i="1"/>
  <c r="C603" i="1"/>
  <c r="D603" i="1"/>
  <c r="C604" i="1"/>
  <c r="D604" i="1"/>
  <c r="C605" i="1"/>
  <c r="D605" i="1"/>
  <c r="C606" i="1"/>
  <c r="D606" i="1"/>
  <c r="C607" i="1"/>
  <c r="D607" i="1"/>
  <c r="C608" i="1"/>
  <c r="D608" i="1"/>
  <c r="C609" i="1"/>
  <c r="D609" i="1"/>
  <c r="C610" i="1"/>
  <c r="D610" i="1"/>
  <c r="C611" i="1"/>
  <c r="D611" i="1"/>
  <c r="C612" i="1"/>
  <c r="D612" i="1"/>
  <c r="C613" i="1"/>
  <c r="D613" i="1"/>
  <c r="C614" i="1"/>
  <c r="D614" i="1"/>
  <c r="C615" i="1"/>
  <c r="D615" i="1"/>
  <c r="C616" i="1"/>
  <c r="D616" i="1"/>
  <c r="C617" i="1"/>
  <c r="D617" i="1"/>
  <c r="C618" i="1"/>
  <c r="D618" i="1"/>
  <c r="C619" i="1"/>
  <c r="D619" i="1"/>
  <c r="C620" i="1"/>
  <c r="D620" i="1"/>
  <c r="C621" i="1"/>
  <c r="D621" i="1"/>
  <c r="C622" i="1"/>
  <c r="D622" i="1"/>
  <c r="C623" i="1"/>
  <c r="D623" i="1"/>
  <c r="C624" i="1"/>
  <c r="D624" i="1"/>
  <c r="C625" i="1"/>
  <c r="D625" i="1"/>
  <c r="C626" i="1"/>
  <c r="D626" i="1"/>
  <c r="C627" i="1"/>
  <c r="D627" i="1"/>
  <c r="C628" i="1"/>
  <c r="D628" i="1"/>
  <c r="C629" i="1"/>
  <c r="D629" i="1"/>
  <c r="C630" i="1"/>
  <c r="D630" i="1"/>
  <c r="C631" i="1"/>
  <c r="D631" i="1"/>
  <c r="C632" i="1"/>
  <c r="D632" i="1"/>
  <c r="C633" i="1"/>
  <c r="D633" i="1"/>
  <c r="C634" i="1"/>
  <c r="D634" i="1"/>
  <c r="C635" i="1"/>
  <c r="D635" i="1"/>
  <c r="C636" i="1"/>
  <c r="D636" i="1"/>
  <c r="C637" i="1"/>
  <c r="D637" i="1"/>
  <c r="C638" i="1"/>
  <c r="D638" i="1"/>
  <c r="C639" i="1"/>
  <c r="D639" i="1"/>
  <c r="C640" i="1"/>
  <c r="D640" i="1"/>
  <c r="C641" i="1"/>
  <c r="D641" i="1"/>
  <c r="C642" i="1"/>
  <c r="D642" i="1"/>
  <c r="C643" i="1"/>
  <c r="D643" i="1"/>
  <c r="C644" i="1"/>
  <c r="D644" i="1"/>
  <c r="C645" i="1"/>
  <c r="D645" i="1"/>
  <c r="C646" i="1"/>
  <c r="D646" i="1"/>
  <c r="C647" i="1"/>
  <c r="D647" i="1"/>
  <c r="C648" i="1"/>
  <c r="D648" i="1"/>
  <c r="C649" i="1"/>
  <c r="D649" i="1"/>
  <c r="C650" i="1"/>
  <c r="D650" i="1"/>
  <c r="C651" i="1"/>
  <c r="D651" i="1"/>
  <c r="C652" i="1"/>
  <c r="D652" i="1"/>
  <c r="C653" i="1"/>
  <c r="D653" i="1"/>
  <c r="C654" i="1"/>
  <c r="D654" i="1"/>
  <c r="C655" i="1"/>
  <c r="D655" i="1"/>
  <c r="C656" i="1"/>
  <c r="D656" i="1"/>
  <c r="C657" i="1"/>
  <c r="D657" i="1"/>
  <c r="C658" i="1"/>
  <c r="D658" i="1"/>
  <c r="C659" i="1"/>
  <c r="D659" i="1"/>
  <c r="C660" i="1"/>
  <c r="D660" i="1"/>
  <c r="C661" i="1"/>
  <c r="D661" i="1"/>
  <c r="C662" i="1"/>
  <c r="D662" i="1"/>
  <c r="C663" i="1"/>
  <c r="D663" i="1"/>
  <c r="C664" i="1"/>
  <c r="D664" i="1"/>
  <c r="C665" i="1"/>
  <c r="D665" i="1"/>
  <c r="C666" i="1"/>
  <c r="D666" i="1"/>
  <c r="C667" i="1"/>
  <c r="D667" i="1"/>
  <c r="C668" i="1"/>
  <c r="D668" i="1"/>
  <c r="C669" i="1"/>
  <c r="D669" i="1"/>
  <c r="C670" i="1"/>
  <c r="D670" i="1"/>
  <c r="C671" i="1"/>
  <c r="D671" i="1"/>
  <c r="C672" i="1"/>
  <c r="D672" i="1"/>
  <c r="C673" i="1"/>
  <c r="D673" i="1"/>
  <c r="C674" i="1"/>
  <c r="D674" i="1"/>
  <c r="C675" i="1"/>
  <c r="D675" i="1"/>
  <c r="C676" i="1"/>
  <c r="D676" i="1"/>
  <c r="C677" i="1"/>
  <c r="D677" i="1"/>
  <c r="C678" i="1"/>
  <c r="D678" i="1"/>
  <c r="C679" i="1"/>
  <c r="D679" i="1"/>
  <c r="C680" i="1"/>
  <c r="D680" i="1"/>
  <c r="C681" i="1"/>
  <c r="D681" i="1"/>
  <c r="C682" i="1"/>
  <c r="D682" i="1"/>
  <c r="C683" i="1"/>
  <c r="D683" i="1"/>
  <c r="C684" i="1"/>
  <c r="D684" i="1"/>
  <c r="C685" i="1"/>
  <c r="D685" i="1"/>
  <c r="C686" i="1"/>
  <c r="D686" i="1"/>
  <c r="C687" i="1"/>
  <c r="D687" i="1"/>
  <c r="C688" i="1"/>
  <c r="D688" i="1"/>
  <c r="C689" i="1"/>
  <c r="D689" i="1"/>
  <c r="C690" i="1"/>
  <c r="D690" i="1"/>
  <c r="C691" i="1"/>
  <c r="D691" i="1"/>
  <c r="C692" i="1"/>
  <c r="D692" i="1"/>
  <c r="C693" i="1"/>
  <c r="D693" i="1"/>
  <c r="C694" i="1"/>
  <c r="D694" i="1"/>
  <c r="C695" i="1"/>
  <c r="D695" i="1"/>
  <c r="C696" i="1"/>
  <c r="D696" i="1"/>
  <c r="C697" i="1"/>
  <c r="D697" i="1"/>
  <c r="C698" i="1"/>
  <c r="D698" i="1"/>
  <c r="C699" i="1"/>
  <c r="D699" i="1"/>
  <c r="C700" i="1"/>
  <c r="D700" i="1"/>
  <c r="C701" i="1"/>
  <c r="D701" i="1"/>
  <c r="C702" i="1"/>
  <c r="D702" i="1"/>
  <c r="C703" i="1"/>
  <c r="D703" i="1"/>
  <c r="C704" i="1"/>
  <c r="D704" i="1"/>
  <c r="C705" i="1"/>
  <c r="D705" i="1"/>
  <c r="C706" i="1"/>
  <c r="D706" i="1"/>
  <c r="C707" i="1"/>
  <c r="D707" i="1"/>
  <c r="C708" i="1"/>
  <c r="D708" i="1"/>
  <c r="C709" i="1"/>
  <c r="D709" i="1"/>
  <c r="C710" i="1"/>
  <c r="D710" i="1"/>
  <c r="C711" i="1"/>
  <c r="D711" i="1"/>
  <c r="C712" i="1"/>
  <c r="D712" i="1"/>
  <c r="C713" i="1"/>
  <c r="D713" i="1"/>
  <c r="C714" i="1"/>
  <c r="D714" i="1"/>
  <c r="C715" i="1"/>
  <c r="D715" i="1"/>
  <c r="C716" i="1"/>
  <c r="D716" i="1"/>
  <c r="C717" i="1"/>
  <c r="D717" i="1"/>
  <c r="C718" i="1"/>
  <c r="D718" i="1"/>
  <c r="C719" i="1"/>
  <c r="D719" i="1"/>
  <c r="C720" i="1"/>
  <c r="D720" i="1"/>
  <c r="C721" i="1"/>
  <c r="D721" i="1"/>
  <c r="C722" i="1"/>
  <c r="D722" i="1"/>
  <c r="C723" i="1"/>
  <c r="D723" i="1"/>
  <c r="C724" i="1"/>
  <c r="D724" i="1"/>
  <c r="C725" i="1"/>
  <c r="D725" i="1"/>
  <c r="C726" i="1"/>
  <c r="D726" i="1"/>
  <c r="C727" i="1"/>
  <c r="D727" i="1"/>
  <c r="C728" i="1"/>
  <c r="D728" i="1"/>
  <c r="C729" i="1"/>
  <c r="D729" i="1"/>
  <c r="C730" i="1"/>
  <c r="D730" i="1"/>
  <c r="C731" i="1"/>
  <c r="D731" i="1"/>
  <c r="C732" i="1"/>
  <c r="D732" i="1"/>
  <c r="C733" i="1"/>
  <c r="D733" i="1"/>
  <c r="C734" i="1"/>
  <c r="D734" i="1"/>
  <c r="C735" i="1"/>
  <c r="D735" i="1"/>
  <c r="C736" i="1"/>
  <c r="D736" i="1"/>
  <c r="C737" i="1"/>
  <c r="D737" i="1"/>
  <c r="C738" i="1"/>
  <c r="D738" i="1"/>
  <c r="C739" i="1"/>
  <c r="D739" i="1"/>
  <c r="C740" i="1"/>
  <c r="D740" i="1"/>
  <c r="C741" i="1"/>
  <c r="D741" i="1"/>
  <c r="C742" i="1"/>
  <c r="D742" i="1"/>
  <c r="C743" i="1"/>
  <c r="D743" i="1"/>
  <c r="C744" i="1"/>
  <c r="D744" i="1"/>
  <c r="C745" i="1"/>
  <c r="D745" i="1"/>
  <c r="C746" i="1"/>
  <c r="D746" i="1"/>
  <c r="C747" i="1"/>
  <c r="D747" i="1"/>
  <c r="C748" i="1"/>
  <c r="D748" i="1"/>
  <c r="C749" i="1"/>
  <c r="D749" i="1"/>
  <c r="C750" i="1"/>
  <c r="D750" i="1"/>
  <c r="C751" i="1"/>
  <c r="D751" i="1"/>
  <c r="C752" i="1"/>
  <c r="D752" i="1"/>
  <c r="C753" i="1"/>
  <c r="D753" i="1"/>
  <c r="C754" i="1"/>
  <c r="D754" i="1"/>
  <c r="C755" i="1"/>
  <c r="D755" i="1"/>
  <c r="C756" i="1"/>
  <c r="D756" i="1"/>
  <c r="C757" i="1"/>
  <c r="D757" i="1"/>
  <c r="C758" i="1"/>
  <c r="D758" i="1"/>
  <c r="C759" i="1"/>
  <c r="D759" i="1"/>
  <c r="C760" i="1"/>
  <c r="D760" i="1"/>
  <c r="C761" i="1"/>
  <c r="D761" i="1"/>
  <c r="C762" i="1"/>
  <c r="D762" i="1"/>
  <c r="C763" i="1"/>
  <c r="D763" i="1"/>
  <c r="C764" i="1"/>
  <c r="D764" i="1"/>
  <c r="C765" i="1"/>
  <c r="D765" i="1"/>
  <c r="C766" i="1"/>
  <c r="D766" i="1"/>
  <c r="C767" i="1"/>
  <c r="D767" i="1"/>
  <c r="C768" i="1"/>
  <c r="D768" i="1"/>
  <c r="C769" i="1"/>
  <c r="D769" i="1"/>
  <c r="C770" i="1"/>
  <c r="D770" i="1"/>
  <c r="C771" i="1"/>
  <c r="D771" i="1"/>
  <c r="C772" i="1"/>
  <c r="D772" i="1"/>
  <c r="C773" i="1"/>
  <c r="D773" i="1"/>
  <c r="C774" i="1"/>
  <c r="D774" i="1"/>
  <c r="C775" i="1"/>
  <c r="D775" i="1"/>
  <c r="C776" i="1"/>
  <c r="D776" i="1"/>
  <c r="C777" i="1"/>
  <c r="D777" i="1"/>
  <c r="C778" i="1"/>
  <c r="D778" i="1"/>
  <c r="C779" i="1"/>
  <c r="D779" i="1"/>
  <c r="C780" i="1"/>
  <c r="D780" i="1"/>
  <c r="C781" i="1"/>
  <c r="D781" i="1"/>
  <c r="C782" i="1"/>
  <c r="D782" i="1"/>
  <c r="C783" i="1"/>
  <c r="D783" i="1"/>
  <c r="C784" i="1"/>
  <c r="D784" i="1"/>
  <c r="C785" i="1"/>
  <c r="D785" i="1"/>
  <c r="C786" i="1"/>
  <c r="D786" i="1"/>
  <c r="C787" i="1"/>
  <c r="D787" i="1"/>
  <c r="C788" i="1"/>
  <c r="D788" i="1"/>
  <c r="C789" i="1"/>
  <c r="D789" i="1"/>
  <c r="C790" i="1"/>
  <c r="D790" i="1"/>
  <c r="C791" i="1"/>
  <c r="D791" i="1"/>
  <c r="C792" i="1"/>
  <c r="D792" i="1"/>
  <c r="C793" i="1"/>
  <c r="D793" i="1"/>
  <c r="C794" i="1"/>
  <c r="D794" i="1"/>
  <c r="C795" i="1"/>
  <c r="D795" i="1"/>
  <c r="C796" i="1"/>
  <c r="D796" i="1"/>
  <c r="C797" i="1"/>
  <c r="D797" i="1"/>
  <c r="C798" i="1"/>
  <c r="D798" i="1"/>
  <c r="C799" i="1"/>
  <c r="D799" i="1"/>
  <c r="C800" i="1"/>
  <c r="D800" i="1"/>
  <c r="C801" i="1"/>
  <c r="D801" i="1"/>
  <c r="C802" i="1"/>
  <c r="D802" i="1"/>
  <c r="C803" i="1"/>
  <c r="D803" i="1"/>
  <c r="C804" i="1"/>
  <c r="D804" i="1"/>
  <c r="C805" i="1"/>
  <c r="D805" i="1"/>
  <c r="C806" i="1"/>
  <c r="D806" i="1"/>
  <c r="C807" i="1"/>
  <c r="D807" i="1"/>
  <c r="C808" i="1"/>
  <c r="D808" i="1"/>
  <c r="C809" i="1"/>
  <c r="D809" i="1"/>
  <c r="C810" i="1"/>
  <c r="D810" i="1"/>
  <c r="C811" i="1"/>
  <c r="D811" i="1"/>
  <c r="C812" i="1"/>
  <c r="D812" i="1"/>
  <c r="C813" i="1"/>
  <c r="D813" i="1"/>
  <c r="C814" i="1"/>
  <c r="D814" i="1"/>
  <c r="C815" i="1"/>
  <c r="D815" i="1"/>
  <c r="C816" i="1"/>
  <c r="D816" i="1"/>
  <c r="C817" i="1"/>
  <c r="D817" i="1"/>
  <c r="C818" i="1"/>
  <c r="D818" i="1"/>
  <c r="C819" i="1"/>
  <c r="D819" i="1"/>
  <c r="C820" i="1"/>
  <c r="D820" i="1"/>
  <c r="C821" i="1"/>
  <c r="D821" i="1"/>
  <c r="C822" i="1"/>
  <c r="D822" i="1"/>
  <c r="C823" i="1"/>
  <c r="D823" i="1"/>
  <c r="C824" i="1"/>
  <c r="D824" i="1"/>
  <c r="C825" i="1"/>
  <c r="D825" i="1"/>
  <c r="C826" i="1"/>
  <c r="D826" i="1"/>
  <c r="C827" i="1"/>
  <c r="D827" i="1"/>
  <c r="C828" i="1"/>
  <c r="D828" i="1"/>
  <c r="C829" i="1"/>
  <c r="D829" i="1"/>
  <c r="C830" i="1"/>
  <c r="D830" i="1"/>
  <c r="C831" i="1"/>
  <c r="D831" i="1"/>
  <c r="C832" i="1"/>
  <c r="D832" i="1"/>
  <c r="C833" i="1"/>
  <c r="D833" i="1"/>
  <c r="C834" i="1"/>
  <c r="D834" i="1"/>
  <c r="C835" i="1"/>
  <c r="D835" i="1"/>
  <c r="C836" i="1"/>
  <c r="D836" i="1"/>
  <c r="C837" i="1"/>
  <c r="D837" i="1"/>
  <c r="C838" i="1"/>
  <c r="D838" i="1"/>
  <c r="C839" i="1"/>
  <c r="D839" i="1"/>
  <c r="C840" i="1"/>
  <c r="D840" i="1"/>
  <c r="C841" i="1"/>
  <c r="D841" i="1"/>
  <c r="C842" i="1"/>
  <c r="D842" i="1"/>
  <c r="C843" i="1"/>
  <c r="D843" i="1"/>
  <c r="C844" i="1"/>
  <c r="D844" i="1"/>
  <c r="C845" i="1"/>
  <c r="D845" i="1"/>
  <c r="C846" i="1"/>
  <c r="D846" i="1"/>
  <c r="C847" i="1"/>
  <c r="D847" i="1"/>
  <c r="C848" i="1"/>
  <c r="D848" i="1"/>
  <c r="C849" i="1"/>
  <c r="D849" i="1"/>
  <c r="C850" i="1"/>
  <c r="D850" i="1"/>
  <c r="C851" i="1"/>
  <c r="D851" i="1"/>
  <c r="C852" i="1"/>
  <c r="D852" i="1"/>
  <c r="C853" i="1"/>
  <c r="D853" i="1"/>
  <c r="C854" i="1"/>
  <c r="D854" i="1"/>
  <c r="C855" i="1"/>
  <c r="D855" i="1"/>
  <c r="C856" i="1"/>
  <c r="D856" i="1"/>
  <c r="C857" i="1"/>
  <c r="D857" i="1"/>
  <c r="C858" i="1"/>
  <c r="D858" i="1"/>
  <c r="C859" i="1"/>
  <c r="D859" i="1"/>
  <c r="C860" i="1"/>
  <c r="D860" i="1"/>
  <c r="C861" i="1"/>
  <c r="D861" i="1"/>
  <c r="C862" i="1"/>
  <c r="D862" i="1"/>
  <c r="C863" i="1"/>
  <c r="D863" i="1"/>
  <c r="C864" i="1"/>
  <c r="D864" i="1"/>
  <c r="C865" i="1"/>
  <c r="D865" i="1"/>
  <c r="C866" i="1"/>
  <c r="D866" i="1"/>
  <c r="C867" i="1"/>
  <c r="D867" i="1"/>
  <c r="C868" i="1"/>
  <c r="D868" i="1"/>
  <c r="C869" i="1"/>
  <c r="D869" i="1"/>
  <c r="C870" i="1"/>
  <c r="D870" i="1"/>
  <c r="C871" i="1"/>
  <c r="D871" i="1"/>
  <c r="C872" i="1"/>
  <c r="D872" i="1"/>
  <c r="C873" i="1"/>
  <c r="D873" i="1"/>
  <c r="C874" i="1"/>
  <c r="D874" i="1"/>
  <c r="C875" i="1"/>
  <c r="D875" i="1"/>
  <c r="C876" i="1"/>
  <c r="D876" i="1"/>
  <c r="C877" i="1"/>
  <c r="D877" i="1"/>
  <c r="C878" i="1"/>
  <c r="D878" i="1"/>
  <c r="C879" i="1"/>
  <c r="D879" i="1"/>
  <c r="C880" i="1"/>
  <c r="D880" i="1"/>
  <c r="C881" i="1"/>
  <c r="D881" i="1"/>
  <c r="C882" i="1"/>
  <c r="D882" i="1"/>
  <c r="C883" i="1"/>
  <c r="D883" i="1"/>
  <c r="C884" i="1"/>
  <c r="D884" i="1"/>
  <c r="C885" i="1"/>
  <c r="D885" i="1"/>
  <c r="C886" i="1"/>
  <c r="D886" i="1"/>
  <c r="C887" i="1"/>
  <c r="D887" i="1"/>
  <c r="C888" i="1"/>
  <c r="D888" i="1"/>
  <c r="C889" i="1"/>
  <c r="D889" i="1"/>
  <c r="C890" i="1"/>
  <c r="D890" i="1"/>
  <c r="C891" i="1"/>
  <c r="D891" i="1"/>
  <c r="C892" i="1"/>
  <c r="D892" i="1"/>
  <c r="C893" i="1"/>
  <c r="D893" i="1"/>
  <c r="C894" i="1"/>
  <c r="D894" i="1"/>
  <c r="C895" i="1"/>
  <c r="D895" i="1"/>
  <c r="C896" i="1"/>
  <c r="D896" i="1"/>
  <c r="C897" i="1"/>
  <c r="D897" i="1"/>
  <c r="C898" i="1"/>
  <c r="D898" i="1"/>
  <c r="C899" i="1"/>
  <c r="D899" i="1"/>
  <c r="C900" i="1"/>
  <c r="D900" i="1"/>
  <c r="C901" i="1"/>
  <c r="D901" i="1"/>
  <c r="C902" i="1"/>
  <c r="D902" i="1"/>
  <c r="C903" i="1"/>
  <c r="D903" i="1"/>
  <c r="C904" i="1"/>
  <c r="D904" i="1"/>
  <c r="C905" i="1"/>
  <c r="D905" i="1"/>
  <c r="C906" i="1"/>
  <c r="D906" i="1"/>
  <c r="C907" i="1"/>
  <c r="D907" i="1"/>
  <c r="C908" i="1"/>
  <c r="D908" i="1"/>
  <c r="C909" i="1"/>
  <c r="D909" i="1"/>
  <c r="C910" i="1"/>
  <c r="D910" i="1"/>
  <c r="C911" i="1"/>
  <c r="D911" i="1"/>
  <c r="C912" i="1"/>
  <c r="D912" i="1"/>
  <c r="C913" i="1"/>
  <c r="D913" i="1"/>
  <c r="C914" i="1"/>
  <c r="D914" i="1"/>
  <c r="C915" i="1"/>
  <c r="D915" i="1"/>
  <c r="C916" i="1"/>
  <c r="D916" i="1"/>
  <c r="C917" i="1"/>
  <c r="D917" i="1"/>
  <c r="C918" i="1"/>
  <c r="D918" i="1"/>
  <c r="C919" i="1"/>
  <c r="D919" i="1"/>
  <c r="C920" i="1"/>
  <c r="D920" i="1"/>
  <c r="C921" i="1"/>
  <c r="D921" i="1"/>
  <c r="C922" i="1"/>
  <c r="D922" i="1"/>
  <c r="C923" i="1"/>
  <c r="D923" i="1"/>
  <c r="C924" i="1"/>
  <c r="D924" i="1"/>
  <c r="C925" i="1"/>
  <c r="D925" i="1"/>
  <c r="C926" i="1"/>
  <c r="D926" i="1"/>
  <c r="C927" i="1"/>
  <c r="D927" i="1"/>
  <c r="C928" i="1"/>
  <c r="D928" i="1"/>
  <c r="C929" i="1"/>
  <c r="D929" i="1"/>
  <c r="C930" i="1"/>
  <c r="D930" i="1"/>
  <c r="C931" i="1"/>
  <c r="D931" i="1"/>
  <c r="C932" i="1"/>
  <c r="D932" i="1"/>
  <c r="C933" i="1"/>
  <c r="D933" i="1"/>
  <c r="C934" i="1"/>
  <c r="D934" i="1"/>
  <c r="C935" i="1"/>
  <c r="D935" i="1"/>
  <c r="C936" i="1"/>
  <c r="D936" i="1"/>
  <c r="C937" i="1"/>
  <c r="D937" i="1"/>
  <c r="C938" i="1"/>
  <c r="D938" i="1"/>
  <c r="C939" i="1"/>
  <c r="D939" i="1"/>
  <c r="C940" i="1"/>
  <c r="D940" i="1"/>
  <c r="C941" i="1"/>
  <c r="D941" i="1"/>
  <c r="C942" i="1"/>
  <c r="D942" i="1"/>
  <c r="C943" i="1"/>
  <c r="D943" i="1"/>
  <c r="C944" i="1"/>
  <c r="D944" i="1"/>
  <c r="C945" i="1"/>
  <c r="D945" i="1"/>
  <c r="C946" i="1"/>
  <c r="D946" i="1"/>
  <c r="C947" i="1"/>
  <c r="D947" i="1"/>
  <c r="C948" i="1"/>
  <c r="D948" i="1"/>
  <c r="C949" i="1"/>
  <c r="D949" i="1"/>
  <c r="C950" i="1"/>
  <c r="D950" i="1"/>
  <c r="C951" i="1"/>
  <c r="D951" i="1"/>
  <c r="C952" i="1"/>
  <c r="D952" i="1"/>
  <c r="C953" i="1"/>
  <c r="D953" i="1"/>
  <c r="C954" i="1"/>
  <c r="D954" i="1"/>
  <c r="C955" i="1"/>
  <c r="D955" i="1"/>
  <c r="C956" i="1"/>
  <c r="D956" i="1"/>
  <c r="C957" i="1"/>
  <c r="D957" i="1"/>
  <c r="C958" i="1"/>
  <c r="D958" i="1"/>
  <c r="C959" i="1"/>
  <c r="D959" i="1"/>
  <c r="C960" i="1"/>
  <c r="D960" i="1"/>
  <c r="C961" i="1"/>
  <c r="D961" i="1"/>
  <c r="C962" i="1"/>
  <c r="D962" i="1"/>
  <c r="C963" i="1"/>
  <c r="D963" i="1"/>
  <c r="C964" i="1"/>
  <c r="D964" i="1"/>
  <c r="C965" i="1"/>
  <c r="D965" i="1"/>
  <c r="C966" i="1"/>
  <c r="D966" i="1"/>
  <c r="C967" i="1"/>
  <c r="D967" i="1"/>
  <c r="C968" i="1"/>
  <c r="D968" i="1"/>
  <c r="C969" i="1"/>
  <c r="D969" i="1"/>
  <c r="C970" i="1"/>
  <c r="D970" i="1"/>
  <c r="C971" i="1"/>
  <c r="D971" i="1"/>
  <c r="C972" i="1"/>
  <c r="D972" i="1"/>
  <c r="C973" i="1"/>
  <c r="D973" i="1"/>
  <c r="C974" i="1"/>
  <c r="D974" i="1"/>
  <c r="C975" i="1"/>
  <c r="D975" i="1"/>
  <c r="C976" i="1"/>
  <c r="D976" i="1"/>
  <c r="C977" i="1"/>
  <c r="D977" i="1"/>
  <c r="C978" i="1"/>
  <c r="D978" i="1"/>
  <c r="C979" i="1"/>
  <c r="D979" i="1"/>
  <c r="C980" i="1"/>
  <c r="D980" i="1"/>
  <c r="C981" i="1"/>
  <c r="D981" i="1"/>
  <c r="C982" i="1"/>
  <c r="D982" i="1"/>
  <c r="C983" i="1"/>
  <c r="D983" i="1"/>
</calcChain>
</file>

<file path=xl/sharedStrings.xml><?xml version="1.0" encoding="utf-8"?>
<sst xmlns="http://schemas.openxmlformats.org/spreadsheetml/2006/main" count="19866" uniqueCount="3367">
  <si>
    <t>Document ID</t>
  </si>
  <si>
    <t>Title</t>
  </si>
  <si>
    <t>PrintIsbn</t>
  </si>
  <si>
    <t>EIsbn</t>
  </si>
  <si>
    <t>Publisher</t>
  </si>
  <si>
    <t>Imprint</t>
  </si>
  <si>
    <t>PublicationDate</t>
  </si>
  <si>
    <t>Date Added</t>
  </si>
  <si>
    <t>Document Type</t>
  </si>
  <si>
    <t>Title Edition</t>
  </si>
  <si>
    <t>Series Title</t>
  </si>
  <si>
    <t>Authors</t>
  </si>
  <si>
    <t>Subject</t>
  </si>
  <si>
    <t>Lcc</t>
  </si>
  <si>
    <t>Dewey</t>
  </si>
  <si>
    <t>Lcsh</t>
  </si>
  <si>
    <t>Language</t>
  </si>
  <si>
    <t>Available for Sale</t>
  </si>
  <si>
    <t>DDA Available</t>
  </si>
  <si>
    <t>Full Download Available</t>
  </si>
  <si>
    <t>EPUB Full Download Only</t>
  </si>
  <si>
    <t>STL Available</t>
  </si>
  <si>
    <t>DRM Free Available for Sale</t>
  </si>
  <si>
    <t>Price Non-Linear USD</t>
  </si>
  <si>
    <t>Price 3-User USD</t>
  </si>
  <si>
    <t>Price 1-User USD</t>
  </si>
  <si>
    <t>Price Unlimited USD</t>
  </si>
  <si>
    <t>Full MARC Available</t>
  </si>
  <si>
    <t>ebrary ID</t>
  </si>
  <si>
    <t>MiL ID</t>
  </si>
  <si>
    <t>Fund Code</t>
  </si>
  <si>
    <t>Subscribed</t>
  </si>
  <si>
    <t>DRM Free Subscribed</t>
  </si>
  <si>
    <t>Owned</t>
  </si>
  <si>
    <t>DRM Free Owned</t>
  </si>
  <si>
    <t>NL Days Remaining</t>
  </si>
  <si>
    <t>Visible</t>
  </si>
  <si>
    <t>Full Record URL</t>
  </si>
  <si>
    <t>Materials for Civil and Construction Engineers: Pearson New International Edition</t>
  </si>
  <si>
    <t>Pearson Education Limited</t>
  </si>
  <si>
    <t>Pearson</t>
  </si>
  <si>
    <t>Book</t>
  </si>
  <si>
    <t>Mamlouk, Michael S.;Zaniewski, John P.</t>
  </si>
  <si>
    <t>Engineering; Engineering: Civil</t>
  </si>
  <si>
    <t>TA403.M36 2014</t>
  </si>
  <si>
    <t>Materials.</t>
  </si>
  <si>
    <t>English</t>
  </si>
  <si>
    <t>No</t>
  </si>
  <si>
    <t>Yes</t>
  </si>
  <si>
    <t>Yes -1</t>
  </si>
  <si>
    <t>https://ebookcentral.proquest.com/lib/seucn/detail.action?docID=4789156</t>
  </si>
  <si>
    <t>You Know the Fair Rule : Strategies for positive and effective behaviour management and discipline in schools</t>
  </si>
  <si>
    <t>Pearson Education UK</t>
  </si>
  <si>
    <t>Rogers, Bill</t>
  </si>
  <si>
    <t>Education</t>
  </si>
  <si>
    <t>https://ebookcentral.proquest.com/lib/seucn/detail.action?docID=5133209</t>
  </si>
  <si>
    <t>Brilliant PR : Create a PR sensation, whatever your budget, whatever your business</t>
  </si>
  <si>
    <t>Pearson Business</t>
  </si>
  <si>
    <t>Bussey, Cathy</t>
  </si>
  <si>
    <t>Business/Management</t>
  </si>
  <si>
    <t>https://ebookcentral.proquest.com/lib/seucn/detail.action?docID=5136200</t>
  </si>
  <si>
    <t>Mastering Financial Modelling in Microsoft Excel 3rd edn : A Practitioner's Guide to Applied Corporate Finance</t>
  </si>
  <si>
    <t>FT Publishing International</t>
  </si>
  <si>
    <t>Day, Alastair</t>
  </si>
  <si>
    <t>HG4012.5</t>
  </si>
  <si>
    <t>https://ebookcentral.proquest.com/lib/seucn/detail.action?docID=5136208</t>
  </si>
  <si>
    <t>Mastering Cash Flow and Valuation Modelling</t>
  </si>
  <si>
    <t>Financial Times/ Prentice Hall</t>
  </si>
  <si>
    <t>HG4028.C45</t>
  </si>
  <si>
    <t>Corporations - Finance - Mathematical models</t>
  </si>
  <si>
    <t>https://ebookcentral.proquest.com/lib/seucn/detail.action?docID=5136209</t>
  </si>
  <si>
    <t>FT Essential Guide to Writing a Business Plan : How to win backing to start up or grow your business</t>
  </si>
  <si>
    <t>Evans, Vaughan</t>
  </si>
  <si>
    <t>HD30.28</t>
  </si>
  <si>
    <t>658.4/01</t>
  </si>
  <si>
    <t>https://ebookcentral.proquest.com/lib/seucn/detail.action?docID=5136214</t>
  </si>
  <si>
    <t>Employee to Entrepreneur : How to Ditch the Day Job &amp; Start Your Own Business</t>
  </si>
  <si>
    <t>Garden, Chris</t>
  </si>
  <si>
    <t>New business enterprises - Management</t>
  </si>
  <si>
    <t>https://ebookcentral.proquest.com/lib/seucn/detail.action?docID=5136219</t>
  </si>
  <si>
    <t>Dynamic Supply Chains : Delivering value through people</t>
  </si>
  <si>
    <t>Gattorna, John</t>
  </si>
  <si>
    <t>https://ebookcentral.proquest.com/lib/seucn/detail.action?docID=5136220</t>
  </si>
  <si>
    <t>Brilliant Communication Skills : What the best communicators know, do and say</t>
  </si>
  <si>
    <t>Pearson Life</t>
  </si>
  <si>
    <t>Hasson, Gill</t>
  </si>
  <si>
    <t>https://ebookcentral.proquest.com/lib/seucn/detail.action?docID=5136225</t>
  </si>
  <si>
    <t>Interview Expert : How to get the job you want</t>
  </si>
  <si>
    <t>Lees, John</t>
  </si>
  <si>
    <t>https://ebookcentral.proquest.com/lib/seucn/detail.action?docID=5136236</t>
  </si>
  <si>
    <t>Mastering Anti-Money Laundering and Counter-Terrorist Financing : A compliance guide for practitioners</t>
  </si>
  <si>
    <t>Parkman, Tim</t>
  </si>
  <si>
    <t>https://ebookcentral.proquest.com/lib/seucn/detail.action?docID=5136252</t>
  </si>
  <si>
    <t>Start Your Business Week by Week : How to plan and launch your successful business - one step at a time</t>
  </si>
  <si>
    <t>Parks, Steve</t>
  </si>
  <si>
    <t>HD62.5</t>
  </si>
  <si>
    <t>Small business - Management</t>
  </si>
  <si>
    <t>https://ebookcentral.proquest.com/lib/seucn/detail.action?docID=5136253</t>
  </si>
  <si>
    <t>Promise : Never Have Another Negative Thought Again</t>
  </si>
  <si>
    <t>Price, Graham</t>
  </si>
  <si>
    <t>Psychology</t>
  </si>
  <si>
    <t>BF637.S4</t>
  </si>
  <si>
    <t>https://ebookcentral.proquest.com/lib/seucn/detail.action?docID=5136254</t>
  </si>
  <si>
    <t>Brilliant Career Coach : How to find and follow your dream career</t>
  </si>
  <si>
    <t>Rowan, Sophie</t>
  </si>
  <si>
    <t>https://ebookcentral.proquest.com/lib/seucn/detail.action?docID=5136256</t>
  </si>
  <si>
    <t>Zoom! : The faster way to make your business idea happen</t>
  </si>
  <si>
    <t>Sanders, Ian;Sloly, David</t>
  </si>
  <si>
    <t>https://ebookcentral.proquest.com/lib/seucn/detail.action?docID=5136257</t>
  </si>
  <si>
    <t>Be Your Own Career Coach : The toolkit you need to build the career you want</t>
  </si>
  <si>
    <t>Pearson International</t>
  </si>
  <si>
    <t>Slater, Rus</t>
  </si>
  <si>
    <t>https://ebookcentral.proquest.com/lib/seucn/detail.action?docID=5136258</t>
  </si>
  <si>
    <t>Mastering Financial Calculations : A step-by-step guide to the mathematics of financial market instruments</t>
  </si>
  <si>
    <t>Steiner, Bob</t>
  </si>
  <si>
    <t>https://ebookcentral.proquest.com/lib/seucn/detail.action?docID=5136260</t>
  </si>
  <si>
    <t>Brilliant Start-Up : How successful entrepreneurs set up and run a brilliant business</t>
  </si>
  <si>
    <t>Woods, Caspian</t>
  </si>
  <si>
    <t>https://ebookcentral.proquest.com/lib/seucn/detail.action?docID=5136268</t>
  </si>
  <si>
    <t>Coach Yourself : Make Real Changes in Your Life</t>
  </si>
  <si>
    <t>Grant, Anthony;Greene, Jane;Greene, Jane</t>
  </si>
  <si>
    <t>BF637.S4 \</t>
  </si>
  <si>
    <t>Change (Psychology)</t>
  </si>
  <si>
    <t>https://ebookcentral.proquest.com/lib/seucn/detail.action?docID=5136276</t>
  </si>
  <si>
    <t>How to be assertive in any situation</t>
  </si>
  <si>
    <t>Hadfield, Sue;Hasson, Gill;Hasson, Gill</t>
  </si>
  <si>
    <t>BF575.A85H33 2010</t>
  </si>
  <si>
    <t>https://ebookcentral.proquest.com/lib/seucn/detail.action?docID=5136277</t>
  </si>
  <si>
    <t>Brilliant Verbal Reasoning Tests : Everything you need to know to pass verbal reasoning tests</t>
  </si>
  <si>
    <t>Williams, Rob</t>
  </si>
  <si>
    <t>https://ebookcentral.proquest.com/lib/seucn/detail.action?docID=5136290</t>
  </si>
  <si>
    <t>Brilliant Numeracy Tests : Everything you need to know to pass numeracy tests</t>
  </si>
  <si>
    <t>https://ebookcentral.proquest.com/lib/seucn/detail.action?docID=5136291</t>
  </si>
  <si>
    <t>Killer CVs and Hidden Approaches</t>
  </si>
  <si>
    <t>Perkins, Graham</t>
  </si>
  <si>
    <t>HF5382.7.P47 2007</t>
  </si>
  <si>
    <t>Resumes (Employment)</t>
  </si>
  <si>
    <t>https://ebookcentral.proquest.com/lib/seucn/detail.action?docID=5136298</t>
  </si>
  <si>
    <t>How to Get What You Want Without Having To Ask</t>
  </si>
  <si>
    <t>Prentice Hall Life</t>
  </si>
  <si>
    <t>Templar, Richard</t>
  </si>
  <si>
    <t>Success - Psychological aspects</t>
  </si>
  <si>
    <t>https://ebookcentral.proquest.com/lib/seucn/detail.action?docID=5136326</t>
  </si>
  <si>
    <t>Modern Systems Analysis and Design, Global Edition</t>
  </si>
  <si>
    <t>Hoffer, Jeffrey A.;George, Joey;Valacich, Joseph A.</t>
  </si>
  <si>
    <t>https://ebookcentral.proquest.com/lib/seucn/detail.action?docID=5136337</t>
  </si>
  <si>
    <t>CV Book 2nd edn : Your definitive guide to writing the perfect CV</t>
  </si>
  <si>
    <t>Innes, James</t>
  </si>
  <si>
    <t>HF5383.I55 2012</t>
  </si>
  <si>
    <t>https://ebookcentral.proquest.com/lib/seucn/detail.action?docID=5136338</t>
  </si>
  <si>
    <t>Interview Book : Your definitive guide to the perfect interview</t>
  </si>
  <si>
    <t>HF5549.5.I6I55 2012</t>
  </si>
  <si>
    <t>https://ebookcentral.proquest.com/lib/seucn/detail.action?docID=5136339</t>
  </si>
  <si>
    <t>Cover Letter Book : Your definitive guide to writing the perfect cover letter</t>
  </si>
  <si>
    <t>HF5383</t>
  </si>
  <si>
    <t>https://ebookcentral.proquest.com/lib/seucn/detail.action?docID=5136340</t>
  </si>
  <si>
    <t>Brilliant Manager 3e : What the Best Managers Know, Do and Say</t>
  </si>
  <si>
    <t>Prentice Hall</t>
  </si>
  <si>
    <t>Peeling, Nic</t>
  </si>
  <si>
    <t>https://ebookcentral.proquest.com/lib/seucn/detail.action?docID=5136341</t>
  </si>
  <si>
    <t>Law Express: International Law (Revision Guide)</t>
  </si>
  <si>
    <t>Allen, Stephen</t>
  </si>
  <si>
    <t>Law</t>
  </si>
  <si>
    <t>https://ebookcentral.proquest.com/lib/seucn/detail.action?docID=5136346</t>
  </si>
  <si>
    <t>Law Express: Intellectual Property Law (Revision Guide)</t>
  </si>
  <si>
    <t>Bainbridge, David;Howell, Claire</t>
  </si>
  <si>
    <t>https://ebookcentral.proquest.com/lib/seucn/detail.action?docID=5136356</t>
  </si>
  <si>
    <t>Human Resource Management : A Contemporary Approach</t>
  </si>
  <si>
    <t>Beardwell, Julie;Claydon, Tim;Claydon, Tim</t>
  </si>
  <si>
    <t>HF5549.H86 2010</t>
  </si>
  <si>
    <t>https://ebookcentral.proquest.com/lib/seucn/detail.action?docID=5136361</t>
  </si>
  <si>
    <t>Law Express: Employment Law (Revision Guide)</t>
  </si>
  <si>
    <t>Cabrelli, David</t>
  </si>
  <si>
    <t>https://ebookcentral.proquest.com/lib/seucn/detail.action?docID=5136388</t>
  </si>
  <si>
    <t>Brilliant Speed Reading : Whatever you need to read, however you want to read it - twice as quickly</t>
  </si>
  <si>
    <t>Chambers, Phil</t>
  </si>
  <si>
    <t>Language/Linguistics</t>
  </si>
  <si>
    <t>https://ebookcentral.proquest.com/lib/seucn/detail.action?docID=5136395</t>
  </si>
  <si>
    <t>Statistics without Maths for Psychology : UEL</t>
  </si>
  <si>
    <t>Dancey, Christine;Reidy, John;Reidy, John</t>
  </si>
  <si>
    <t>BF39.D26 2011</t>
  </si>
  <si>
    <t>https://ebookcentral.proquest.com/lib/seucn/detail.action?docID=5136409</t>
  </si>
  <si>
    <t>Law Express: Human Rights (Revision Guide)</t>
  </si>
  <si>
    <t>De Than, Claire;Shorts, Edwin</t>
  </si>
  <si>
    <t>https://ebookcentral.proquest.com/lib/seucn/detail.action?docID=5136415</t>
  </si>
  <si>
    <t>Law Express: Land Law (Revision Guide)</t>
  </si>
  <si>
    <t>Duddington, John</t>
  </si>
  <si>
    <t>KD829</t>
  </si>
  <si>
    <t>https://ebookcentral.proquest.com/lib/seucn/detail.action?docID=5136427</t>
  </si>
  <si>
    <t>Law Express: Equity and Trusts (Revision Guide)</t>
  </si>
  <si>
    <t>https://ebookcentral.proquest.com/lib/seucn/detail.action?docID=5136428</t>
  </si>
  <si>
    <t>Law Express: English Legal System (Revision Guide)</t>
  </si>
  <si>
    <t>Finch, Emily;Fafinski, Stefan</t>
  </si>
  <si>
    <t>https://ebookcentral.proquest.com/lib/seucn/detail.action?docID=5136442</t>
  </si>
  <si>
    <t>Law Express: Exam Success (Revision Guide)</t>
  </si>
  <si>
    <t>Longman</t>
  </si>
  <si>
    <t>Finch, Emily;Fafinski, Stefan;Fafinski, Stefan</t>
  </si>
  <si>
    <t>KD442</t>
  </si>
  <si>
    <t>https://ebookcentral.proquest.com/lib/seucn/detail.action?docID=5136443</t>
  </si>
  <si>
    <t>Law Express: Tort Law (Revision Guide)</t>
  </si>
  <si>
    <t>Law Express</t>
  </si>
  <si>
    <t>KD1949</t>
  </si>
  <si>
    <t>https://ebookcentral.proquest.com/lib/seucn/detail.action?docID=5136444</t>
  </si>
  <si>
    <t>Law Express: Criminal Law (Revision Guide)</t>
  </si>
  <si>
    <t>https://ebookcentral.proquest.com/lib/seucn/detail.action?docID=5136445</t>
  </si>
  <si>
    <t>Elements of Chemical Reaction Engineering: Pearson New International Edition</t>
  </si>
  <si>
    <t>Fogler, H. Scott</t>
  </si>
  <si>
    <t>Engineering; Engineering: Chemical</t>
  </si>
  <si>
    <t>https://ebookcentral.proquest.com/lib/seucn/detail.action?docID=5136447</t>
  </si>
  <si>
    <t>Logistics Management and Strategy</t>
  </si>
  <si>
    <t>Harrison, Alan;Van Hoek, Remko;Van Hoek, Remko</t>
  </si>
  <si>
    <t>HD38.5</t>
  </si>
  <si>
    <t>https://ebookcentral.proquest.com/lib/seucn/detail.action?docID=5136462</t>
  </si>
  <si>
    <t>Law Express: Medical Law (Revision Guide)</t>
  </si>
  <si>
    <t>Herring, Jonathan</t>
  </si>
  <si>
    <t>https://ebookcentral.proquest.com/lib/seucn/detail.action?docID=5136467</t>
  </si>
  <si>
    <t>Law Express: Family Law (Revision Guide)</t>
  </si>
  <si>
    <t>https://ebookcentral.proquest.com/lib/seucn/detail.action?docID=5136468</t>
  </si>
  <si>
    <t>Brilliant Answers to Tough Interview Questions</t>
  </si>
  <si>
    <t>Hodgson, Susan</t>
  </si>
  <si>
    <t>HF5549.5.I6H58 2011</t>
  </si>
  <si>
    <t>https://ebookcentral.proquest.com/lib/seucn/detail.action?docID=5136471</t>
  </si>
  <si>
    <t>Introduction to Research Methods in Psychology</t>
  </si>
  <si>
    <t>Howitt, Dennis;Cramer, Duncan;Cramer, Duncan</t>
  </si>
  <si>
    <t>BF76.5</t>
  </si>
  <si>
    <t>https://ebookcentral.proquest.com/lib/seucn/detail.action?docID=5136476</t>
  </si>
  <si>
    <t>Introduction to SPSS Statistics in Psychology : For version 19 and earlier</t>
  </si>
  <si>
    <t>BF39</t>
  </si>
  <si>
    <t>https://ebookcentral.proquest.com/lib/seucn/detail.action?docID=5136477</t>
  </si>
  <si>
    <t>Fundamentals of Strategy</t>
  </si>
  <si>
    <t>Johnson, Gerry;Whittington, Richard;Scholes, Kevan;Scholes, Kevan;Whittington, Richard</t>
  </si>
  <si>
    <t>HD30.28.J6495 2011</t>
  </si>
  <si>
    <t>https://ebookcentral.proquest.com/lib/seucn/detail.action?docID=5136482</t>
  </si>
  <si>
    <t>Speech and Language Processing: Pearson New International Edition</t>
  </si>
  <si>
    <t>Jurafsky, Daniel;Martin, James H.</t>
  </si>
  <si>
    <t>https://ebookcentral.proquest.com/lib/seucn/detail.action?docID=5136483</t>
  </si>
  <si>
    <t>Law Express: EU Law (Revision Guide)</t>
  </si>
  <si>
    <t>Kirk, Ewan</t>
  </si>
  <si>
    <t>KJE949.K57 2012</t>
  </si>
  <si>
    <t>https://ebookcentral.proquest.com/lib/seucn/detail.action?docID=5136490</t>
  </si>
  <si>
    <t>Elementary Statistics: Pearson New International Edition : Picturing the World</t>
  </si>
  <si>
    <t>Larson, Ron;Farber, Betsy</t>
  </si>
  <si>
    <t>Mathematics</t>
  </si>
  <si>
    <t>https://ebookcentral.proquest.com/lib/seucn/detail.action?docID=5136496</t>
  </si>
  <si>
    <t>E-Commerce 2013: Global Edition : Laudon: E-Commerce 2013 CSeTxt_o9</t>
  </si>
  <si>
    <t>Laudon, Kenneth;Traver, Carol</t>
  </si>
  <si>
    <t>https://ebookcentral.proquest.com/lib/seucn/detail.action?docID=5136497</t>
  </si>
  <si>
    <t>Linear Algebra and Its Applications: Pearson New International Edition</t>
  </si>
  <si>
    <t>Lay, David C.</t>
  </si>
  <si>
    <t>https://ebookcentral.proquest.com/lib/seucn/detail.action?docID=5136499</t>
  </si>
  <si>
    <t>Selling For Entrepreneurs</t>
  </si>
  <si>
    <t>Lennon, Kathryn</t>
  </si>
  <si>
    <t>HF5438.25.L46 2009</t>
  </si>
  <si>
    <t>https://ebookcentral.proquest.com/lib/seucn/detail.action?docID=5136501</t>
  </si>
  <si>
    <t>Be Your Own Financial Adviser : The comprehensive guide to wealth and financial planning</t>
  </si>
  <si>
    <t>Lowe, Jonquil</t>
  </si>
  <si>
    <t>Business/Management; Economics</t>
  </si>
  <si>
    <t>HG179</t>
  </si>
  <si>
    <t>Finance, Personal</t>
  </si>
  <si>
    <t>https://ebookcentral.proquest.com/lib/seucn/detail.action?docID=5136511</t>
  </si>
  <si>
    <t>Business Law : UEL</t>
  </si>
  <si>
    <t>MacIntyre, Ewan</t>
  </si>
  <si>
    <t>https://ebookcentral.proquest.com/lib/seucn/detail.action?docID=5136517</t>
  </si>
  <si>
    <t>Law Express: Business Law (Revision Guide)</t>
  </si>
  <si>
    <t>KD1629.M33 2012</t>
  </si>
  <si>
    <t>https://ebookcentral.proquest.com/lib/seucn/detail.action?docID=5136518</t>
  </si>
  <si>
    <t>Study Skills for Science, Engineering and Technology Students</t>
  </si>
  <si>
    <t>Maier, Pat;Barney, Anna;Price, Geraldine;Barney, Anna;Price, Geraldine</t>
  </si>
  <si>
    <t>Science: General; Science</t>
  </si>
  <si>
    <t>Q181</t>
  </si>
  <si>
    <t>https://ebookcentral.proquest.com/lib/seucn/detail.action?docID=5136521</t>
  </si>
  <si>
    <t>Allyn &amp; Bacon</t>
  </si>
  <si>
    <t>Martin, G. Neil;Carlson, Neil R.;Buskist, William</t>
  </si>
  <si>
    <t>https://ebookcentral.proquest.com/lib/seucn/detail.action?docID=5136525</t>
  </si>
  <si>
    <t>Business Finance</t>
  </si>
  <si>
    <t>McLaney, Eddie</t>
  </si>
  <si>
    <t>HG4026.M388 2011</t>
  </si>
  <si>
    <t>https://ebookcentral.proquest.com/lib/seucn/detail.action?docID=5136532</t>
  </si>
  <si>
    <t>Power Electronics: Pearson New International Edition : Circuits, Devices and Applications</t>
  </si>
  <si>
    <t>Rashid, Muhammad H.</t>
  </si>
  <si>
    <t>Engineering: Electrical; Engineering</t>
  </si>
  <si>
    <t>https://ebookcentral.proquest.com/lib/seucn/detail.action?docID=5136561</t>
  </si>
  <si>
    <t>College Algebra and Trigonometry: Pearson New International Edition</t>
  </si>
  <si>
    <t>Ratti, J. S.;McWaters, Marcus S.</t>
  </si>
  <si>
    <t>https://ebookcentral.proquest.com/lib/seucn/detail.action?docID=5136562</t>
  </si>
  <si>
    <t>Bioprocess Engineering: Pearson New International Edition : Basic Concepts</t>
  </si>
  <si>
    <t>Shuler, Michael L.;Kargi, Fikret</t>
  </si>
  <si>
    <t>https://ebookcentral.proquest.com/lib/seucn/detail.action?docID=5136583</t>
  </si>
  <si>
    <t>Operations Management</t>
  </si>
  <si>
    <t>Slack, Nigel;Chambers, Stuart;Johnston, Robert;Chambers, Stuart;Johnston, Robert</t>
  </si>
  <si>
    <t>TS155.S562 2010</t>
  </si>
  <si>
    <t>https://ebookcentral.proquest.com/lib/seucn/detail.action?docID=5136585</t>
  </si>
  <si>
    <t>Property Law, seventh edition</t>
  </si>
  <si>
    <t>Smith, Roger</t>
  </si>
  <si>
    <t>KD829.S64 2011</t>
  </si>
  <si>
    <t>https://ebookcentral.proquest.com/lib/seucn/detail.action?docID=5136590</t>
  </si>
  <si>
    <t>Law Express: Environmental Law (Revision Guide)</t>
  </si>
  <si>
    <t>Sneddon, Simon</t>
  </si>
  <si>
    <t>https://ebookcentral.proquest.com/lib/seucn/detail.action?docID=5136591</t>
  </si>
  <si>
    <t>E-Marketing: Pearson New International Edition</t>
  </si>
  <si>
    <t>Strauss, Judy;Frost, Raymond</t>
  </si>
  <si>
    <t>https://ebookcentral.proquest.com/lib/seucn/detail.action?docID=5136596</t>
  </si>
  <si>
    <t>Law Express: Company Law (Revision Guide)</t>
  </si>
  <si>
    <t>Taylor, Chris</t>
  </si>
  <si>
    <t>https://ebookcentral.proquest.com/lib/seucn/detail.action?docID=5136601</t>
  </si>
  <si>
    <t>Law Express: Evidence (Revision Guide)</t>
  </si>
  <si>
    <t>https://ebookcentral.proquest.com/lib/seucn/detail.action?docID=5136602</t>
  </si>
  <si>
    <t>Law Express: Constitutional and Administrative Law (Revision Guide)</t>
  </si>
  <si>
    <t>https://ebookcentral.proquest.com/lib/seucn/detail.action?docID=5136603</t>
  </si>
  <si>
    <t>Law Express: Consumer and Commercial Law (Revision Guide)</t>
  </si>
  <si>
    <t>Tillson, Judith</t>
  </si>
  <si>
    <t>https://ebookcentral.proquest.com/lib/seucn/detail.action?docID=5136608</t>
  </si>
  <si>
    <t>Criminal Law</t>
  </si>
  <si>
    <t>Wilson, William</t>
  </si>
  <si>
    <t>KD7850</t>
  </si>
  <si>
    <t>https://ebookcentral.proquest.com/lib/seucn/detail.action?docID=5136627</t>
  </si>
  <si>
    <t>Marketing for Entrepreneurs</t>
  </si>
  <si>
    <t>Wolff, Jurgen</t>
  </si>
  <si>
    <t>HF5415.13.W653 2009</t>
  </si>
  <si>
    <t>Small business marketing</t>
  </si>
  <si>
    <t>https://ebookcentral.proquest.com/lib/seucn/detail.action?docID=5136628</t>
  </si>
  <si>
    <t>Focus : Use the power of targeted thinking to get more done</t>
  </si>
  <si>
    <t>BF321.W65 2010</t>
  </si>
  <si>
    <t>https://ebookcentral.proquest.com/lib/seucn/detail.action?docID=5136629</t>
  </si>
  <si>
    <t>Little, Brown Essential Handbook: Pearson New International Edition</t>
  </si>
  <si>
    <t>Aaron, Jane E.</t>
  </si>
  <si>
    <t>https://ebookcentral.proquest.com/lib/seucn/detail.action?docID=5136639</t>
  </si>
  <si>
    <t>Understanding Weather and Climate: Pearson New International Edition</t>
  </si>
  <si>
    <t>Aguado, Edward;Burt, James E.</t>
  </si>
  <si>
    <t>https://ebookcentral.proquest.com/lib/seucn/detail.action?docID=5136641</t>
  </si>
  <si>
    <t>International Marketing &amp; Export Management : University of the West Indies</t>
  </si>
  <si>
    <t>Albaum, Gerald;Duerr, Edwin;Duerr, Edwin</t>
  </si>
  <si>
    <t>HF1416.A38 2011</t>
  </si>
  <si>
    <t>Export marketing - Management</t>
  </si>
  <si>
    <t>https://ebookcentral.proquest.com/lib/seucn/detail.action?docID=5136642</t>
  </si>
  <si>
    <t>Introduction to Materials Management: Pearson New International Edition</t>
  </si>
  <si>
    <t>Arnold, J. R. Tony;Chapman, Stephen N.;Clive, Lloyd M.</t>
  </si>
  <si>
    <t>https://ebookcentral.proquest.com/lib/seucn/detail.action?docID=5136645</t>
  </si>
  <si>
    <t>Foundations of Macroeconomics: Pearson New International Edition</t>
  </si>
  <si>
    <t>Bade, Robin;Parkin, Michael</t>
  </si>
  <si>
    <t>https://ebookcentral.proquest.com/lib/seucn/detail.action?docID=5136651</t>
  </si>
  <si>
    <t>Introduction to International Political Economy: Pearson New International Edition</t>
  </si>
  <si>
    <t>Balaam, David N.;Dillman, Bradford;Dillman, Bradford L.</t>
  </si>
  <si>
    <t>https://ebookcentral.proquest.com/lib/seucn/detail.action?docID=5136652</t>
  </si>
  <si>
    <t>Calculus for Business, Economics, Life Sciences and Social Sciences: Pearson New International Edition</t>
  </si>
  <si>
    <t>Barnett, Raymond A.;Ziegler, Michael R.;Byleen, Karl E.</t>
  </si>
  <si>
    <t>https://ebookcentral.proquest.com/lib/seucn/detail.action?docID=5136655</t>
  </si>
  <si>
    <t>College Mathematics for Business, Economics, Life Sciences and Social Sciences: Pearson New International Edition</t>
  </si>
  <si>
    <t>https://ebookcentral.proquest.com/lib/seucn/detail.action?docID=5136656</t>
  </si>
  <si>
    <t>Finite Mathematics for Business, Economics, Life Sciences and Social Sciences: Pearson New International Edition</t>
  </si>
  <si>
    <t>https://ebookcentral.proquest.com/lib/seucn/detail.action?docID=5136657</t>
  </si>
  <si>
    <t>Microbiology with Diseases by Body System: Pearson New International Edition</t>
  </si>
  <si>
    <t>Bauman, Robert W.</t>
  </si>
  <si>
    <t>https://ebookcentral.proquest.com/lib/seucn/detail.action?docID=5136660</t>
  </si>
  <si>
    <t>Advanced Accounting: Pearson New International Edition</t>
  </si>
  <si>
    <t>Beams, Floyd A.;Anthony, Joseph H.;Bettinghaus, Bruce</t>
  </si>
  <si>
    <t>https://ebookcentral.proquest.com/lib/seucn/detail.action?docID=5136661</t>
  </si>
  <si>
    <t>Biology: Pearson New International Edition</t>
  </si>
  <si>
    <t>Belk, Colleen;Borden Maier, Virginia</t>
  </si>
  <si>
    <t>https://ebookcentral.proquest.com/lib/seucn/detail.action?docID=5136663</t>
  </si>
  <si>
    <t>Designing Interactive Systems</t>
  </si>
  <si>
    <t>Addison Wesley</t>
  </si>
  <si>
    <t>Benyon, David</t>
  </si>
  <si>
    <t>https://ebookcentral.proquest.com/lib/seucn/detail.action?docID=5136664</t>
  </si>
  <si>
    <t>Basic Business Statistics: Global Edition</t>
  </si>
  <si>
    <t>Pearson Education</t>
  </si>
  <si>
    <t>Berenson, Mark;Levine, David;Krehbiel, Timothy;Levine, David;Krehbiel, Timothy;Stephan, David</t>
  </si>
  <si>
    <t>Business/Management; Mathematics</t>
  </si>
  <si>
    <t>HF1017.B38 2011</t>
  </si>
  <si>
    <t>https://ebookcentral.proquest.com/lib/seucn/detail.action?docID=5136665</t>
  </si>
  <si>
    <t>Communicating: Pearson New International Edition</t>
  </si>
  <si>
    <t>Berko, Roy M.;Wolvin, Andrew D.;Wolvin, Darlyn R.;Wolvin, Andrew D.;Wolvin, Darlyn R.;Aitken, Joan E.</t>
  </si>
  <si>
    <t>Social Science</t>
  </si>
  <si>
    <t>https://ebookcentral.proquest.com/lib/seucn/detail.action?docID=5136666</t>
  </si>
  <si>
    <t>Basic College Mathematics: Pearson New International Edition</t>
  </si>
  <si>
    <t>Bittinger, Marvin L</t>
  </si>
  <si>
    <t>https://ebookcentral.proquest.com/lib/seucn/detail.action?docID=5136669</t>
  </si>
  <si>
    <t>Intermediate Algebra: Pearson New International Edition</t>
  </si>
  <si>
    <t>Bittinger, Marvin L.</t>
  </si>
  <si>
    <t>https://ebookcentral.proquest.com/lib/seucn/detail.action?docID=5136670</t>
  </si>
  <si>
    <t>Basic College Mathematics with Early Integers: Pearson New International Edition</t>
  </si>
  <si>
    <t>Bittinger, Marvin L.;Penna, Judith A</t>
  </si>
  <si>
    <t>https://ebookcentral.proquest.com/lib/seucn/detail.action?docID=5136671</t>
  </si>
  <si>
    <t>Introductory and Intermediate Algebra: Pearson New International Edition</t>
  </si>
  <si>
    <t>Bittinger, Marvin L;Beecher, Judith A</t>
  </si>
  <si>
    <t>https://ebookcentral.proquest.com/lib/seucn/detail.action?docID=5136672</t>
  </si>
  <si>
    <t>Calculus and Its Applications: Pearson New International Edition</t>
  </si>
  <si>
    <t>Bittinger, Marvin L;Ellenbogen, David J.;Surgent, Scott J.</t>
  </si>
  <si>
    <t>https://ebookcentral.proquest.com/lib/seucn/detail.action?docID=5136673</t>
  </si>
  <si>
    <t>Mechatronics</t>
  </si>
  <si>
    <t>Bolton, W.</t>
  </si>
  <si>
    <t>Engineering: General; Engineering; Engineering: Mechanical</t>
  </si>
  <si>
    <t>TJ163.12.B65 2011</t>
  </si>
  <si>
    <t>https://ebookcentral.proquest.com/lib/seucn/detail.action?docID=5136678</t>
  </si>
  <si>
    <t>Business Communication Essentials: Pearson New International Edition</t>
  </si>
  <si>
    <t>Bovee, Courtland;Thill, John V</t>
  </si>
  <si>
    <t>https://ebookcentral.proquest.com/lib/seucn/detail.action?docID=5136681</t>
  </si>
  <si>
    <t>Business in Action: Pearson New International Edition</t>
  </si>
  <si>
    <t>https://ebookcentral.proquest.com/lib/seucn/detail.action?docID=5136682</t>
  </si>
  <si>
    <t>Introductory Circuit Analysis: Pearson New International Edition</t>
  </si>
  <si>
    <t>Boylestad, Robert L.</t>
  </si>
  <si>
    <t>https://ebookcentral.proquest.com/lib/seucn/detail.action?docID=5136684</t>
  </si>
  <si>
    <t>Financial Management: International Edition</t>
  </si>
  <si>
    <t>Brooks, Raymond</t>
  </si>
  <si>
    <t>https://ebookcentral.proquest.com/lib/seucn/detail.action?docID=5136688</t>
  </si>
  <si>
    <t>Computer Science: An Overview</t>
  </si>
  <si>
    <t>Brookshear, J. Glenn</t>
  </si>
  <si>
    <t>https://ebookcentral.proquest.com/lib/seucn/detail.action?docID=5136689</t>
  </si>
  <si>
    <t>Understanding Cross-Cultural Management</t>
  </si>
  <si>
    <t>Browaeys, Marie-Joelle;Price, Roger;Price, Roger</t>
  </si>
  <si>
    <t>HF5549.5.M5</t>
  </si>
  <si>
    <t>https://ebookcentral.proquest.com/lib/seucn/detail.action?docID=5136690</t>
  </si>
  <si>
    <t>Chemistry: Pearson New International Edition</t>
  </si>
  <si>
    <t>Brown, Theodore E;LeMay, H. Eugene H;Bursten, Bruce E;LeMay, H. Eugene H.;Bursten, Bruce E.;Murphy, Catherine;Woodward, Patrick</t>
  </si>
  <si>
    <t>Science: Chemistry; Science</t>
  </si>
  <si>
    <t>QD31.2.B78 2014</t>
  </si>
  <si>
    <t>https://ebookcentral.proquest.com/lib/seucn/detail.action?docID=5136691</t>
  </si>
  <si>
    <t>Asking the Right Questions: Pearson New International Edition</t>
  </si>
  <si>
    <t>Browne, M. Neil;Keeley, Stuart M.</t>
  </si>
  <si>
    <t>https://ebookcentral.proquest.com/lib/seucn/detail.action?docID=5136692</t>
  </si>
  <si>
    <t>Organic Chemistry: Pearson New International Edition</t>
  </si>
  <si>
    <t>Bruice, Paula Y.</t>
  </si>
  <si>
    <t>Science; Science: Chemistry</t>
  </si>
  <si>
    <t>https://ebookcentral.proquest.com/lib/seucn/detail.action?docID=5136693</t>
  </si>
  <si>
    <t>Essential Organic Chemistry: Pearson New International Edition</t>
  </si>
  <si>
    <t>https://ebookcentral.proquest.com/lib/seucn/detail.action?docID=5136694</t>
  </si>
  <si>
    <t>Evolutionary Psychology: Pearson New International Edition</t>
  </si>
  <si>
    <t>Buss, David</t>
  </si>
  <si>
    <t>https://ebookcentral.proquest.com/lib/seucn/detail.action?docID=5136696</t>
  </si>
  <si>
    <t>Business Student's Handbook : Skills for study and employment</t>
  </si>
  <si>
    <t>Cameron, Sheila</t>
  </si>
  <si>
    <t>https://ebookcentral.proquest.com/lib/seucn/detail.action?docID=5136697</t>
  </si>
  <si>
    <t>MBA Handbook : Academic and Professional Skills for Mastering Management</t>
  </si>
  <si>
    <t>HD31</t>
  </si>
  <si>
    <t>Industrial management - Study and teaching (Graduate)</t>
  </si>
  <si>
    <t>https://ebookcentral.proquest.com/lib/seucn/detail.action?docID=5136698</t>
  </si>
  <si>
    <t>Constitutional and Administrative Law 7th edn : UEL</t>
  </si>
  <si>
    <t>Carroll, Alex</t>
  </si>
  <si>
    <t>https://ebookcentral.proquest.com/lib/seucn/detail.action?docID=5136702</t>
  </si>
  <si>
    <t>Digital Marketing</t>
  </si>
  <si>
    <t>Chaffey, Dave;Ellis-Chadwick, Fiona</t>
  </si>
  <si>
    <t>https://ebookcentral.proquest.com/lib/seucn/detail.action?docID=5136707</t>
  </si>
  <si>
    <t>Contemporary Business and Online Commerce Law: Pearson New International Edition</t>
  </si>
  <si>
    <t>Cheeseman, Henry R.</t>
  </si>
  <si>
    <t>https://ebookcentral.proquest.com/lib/seucn/detail.action?docID=5136709</t>
  </si>
  <si>
    <t>Research Methods, Design, and Analysis: Pearson New International Edition</t>
  </si>
  <si>
    <t>Christensen, Larry B.;Johnson, R. Burke;Turner, Lisa A.</t>
  </si>
  <si>
    <t>https://ebookcentral.proquest.com/lib/seucn/detail.action?docID=5136711</t>
  </si>
  <si>
    <t>Media Ethics: Pearson New International Edition</t>
  </si>
  <si>
    <t>Christians, Clifford G.;Fackler, Mark;Richardson, Kathy Brittain</t>
  </si>
  <si>
    <t>https://ebookcentral.proquest.com/lib/seucn/detail.action?docID=5136712</t>
  </si>
  <si>
    <t>Geosystems: Pearson New International Edition</t>
  </si>
  <si>
    <t>Christopherson, Robert W.</t>
  </si>
  <si>
    <t>https://ebookcentral.proquest.com/lib/seucn/detail.action?docID=5136713</t>
  </si>
  <si>
    <t>Psychology: Pearson New International Edition</t>
  </si>
  <si>
    <t>Ciccarelli, Saundra K.;White, J. Noland</t>
  </si>
  <si>
    <t>https://ebookcentral.proquest.com/lib/seucn/detail.action?docID=5136715</t>
  </si>
  <si>
    <t>Brilliant Influence : What the Most Influential People Know, Do and Say</t>
  </si>
  <si>
    <t>Clayton, Mike</t>
  </si>
  <si>
    <t>https://ebookcentral.proquest.com/lib/seucn/detail.action?docID=5136716</t>
  </si>
  <si>
    <t>Teaching of Instrumental Music: Pearson New International Edition</t>
  </si>
  <si>
    <t>Colwell, Richard J.;Hewitt, Michael</t>
  </si>
  <si>
    <t>https://ebookcentral.proquest.com/lib/seucn/detail.action?docID=5136719</t>
  </si>
  <si>
    <t>Law of Tort 11th edn : UEL</t>
  </si>
  <si>
    <t>Cooke, John</t>
  </si>
  <si>
    <t>https://ebookcentral.proquest.com/lib/seucn/detail.action?docID=5136722</t>
  </si>
  <si>
    <t>Introduction to Logic: Pearson New International Edition</t>
  </si>
  <si>
    <t>Copi, Irving M;Cohen, Carl;McMahon, Kenneth;Cohen, Carl;Rodych, Victor</t>
  </si>
  <si>
    <t>Philosophy</t>
  </si>
  <si>
    <t>https://ebookcentral.proquest.com/lib/seucn/detail.action?docID=5136723</t>
  </si>
  <si>
    <t>Short Guide to writing about Film:Pearson New International Edition</t>
  </si>
  <si>
    <t>Corrigan, Timothy</t>
  </si>
  <si>
    <t>https://ebookcentral.proquest.com/lib/seucn/detail.action?docID=5136724</t>
  </si>
  <si>
    <t>Theories of Development: Pearson New International Edition</t>
  </si>
  <si>
    <t>Crain, William</t>
  </si>
  <si>
    <t>https://ebookcentral.proquest.com/lib/seucn/detail.action?docID=5136726</t>
  </si>
  <si>
    <t>Foundation Maths</t>
  </si>
  <si>
    <t>Croft, Anthony;Davison, Robert;Davison, Robert</t>
  </si>
  <si>
    <t>QA8.4</t>
  </si>
  <si>
    <t>https://ebookcentral.proquest.com/lib/seucn/detail.action?docID=5136727</t>
  </si>
  <si>
    <t>Advanced Medical Life Support: Pearson New International Edition</t>
  </si>
  <si>
    <t>Dalton, Twink M.;Limmer, Daniel;Mistovich, Joseph J.;Limmer, Daniel J., EMT-P;Mistovich, Joseph J.;Werman, Howard</t>
  </si>
  <si>
    <t>Medicine</t>
  </si>
  <si>
    <t>https://ebookcentral.proquest.com/lib/seucn/detail.action?docID=5136731</t>
  </si>
  <si>
    <t>Introduction to Human Geography</t>
  </si>
  <si>
    <t>Daniels, Peter;Sidaway, James;Bradshaw, Michael;Sidaway, James;Bradshaw, Michael;Shaw, Denis</t>
  </si>
  <si>
    <t>Environmental Studies; Social Science</t>
  </si>
  <si>
    <t>GF41.I574 2012</t>
  </si>
  <si>
    <t>https://ebookcentral.proquest.com/lib/seucn/detail.action?docID=5136732</t>
  </si>
  <si>
    <t>Motivation: Pearson New International Edition</t>
  </si>
  <si>
    <t>Deckers, Lambert;Cockerham, William C.</t>
  </si>
  <si>
    <t>https://ebookcentral.proquest.com/lib/seucn/detail.action?docID=5136738</t>
  </si>
  <si>
    <t>Java How to Program</t>
  </si>
  <si>
    <t>Deitel, Harvey;Deitel, Paul J.</t>
  </si>
  <si>
    <t>https://ebookcentral.proquest.com/lib/seucn/detail.action?docID=5136742</t>
  </si>
  <si>
    <t>Precalculus: Pearson New International Edition</t>
  </si>
  <si>
    <t>Demana, Franklin;Waits, Bert K.;Foley, Gregory D.</t>
  </si>
  <si>
    <t>https://ebookcentral.proquest.com/lib/seucn/detail.action?docID=5136744</t>
  </si>
  <si>
    <t>Interpersonal Communication Book, The: Pearson New International Edition</t>
  </si>
  <si>
    <t>DeVito, Joseph A</t>
  </si>
  <si>
    <t>https://ebookcentral.proquest.com/lib/seucn/detail.action?docID=5136748</t>
  </si>
  <si>
    <t>Human Communication: Pearson New International Edition</t>
  </si>
  <si>
    <t>https://ebookcentral.proquest.com/lib/seucn/detail.action?docID=5136749</t>
  </si>
  <si>
    <t>Legal Aspects of Nursing</t>
  </si>
  <si>
    <t>Dimond, Bridgit</t>
  </si>
  <si>
    <t>KD2968.N8D56 2011</t>
  </si>
  <si>
    <t>344.4104/14</t>
  </si>
  <si>
    <t>https://ebookcentral.proquest.com/lib/seucn/detail.action?docID=5136750</t>
  </si>
  <si>
    <t>Health: Pearson New International Edition</t>
  </si>
  <si>
    <t>Donatelle, Rebecca J.</t>
  </si>
  <si>
    <t>https://ebookcentral.proquest.com/lib/seucn/detail.action?docID=5136752</t>
  </si>
  <si>
    <t>Law Express Question and Answer: Land Law</t>
  </si>
  <si>
    <t>https://ebookcentral.proquest.com/lib/seucn/detail.action?docID=5136754</t>
  </si>
  <si>
    <t>Law Express Question and Answer: Equity and Trusts</t>
  </si>
  <si>
    <t>https://ebookcentral.proquest.com/lib/seucn/detail.action?docID=5136755</t>
  </si>
  <si>
    <t>Trusts and Equity</t>
  </si>
  <si>
    <t>Edwards, Richard;Stockwell, Nigel</t>
  </si>
  <si>
    <t>https://ebookcentral.proquest.com/lib/seucn/detail.action?docID=5136759</t>
  </si>
  <si>
    <t>Educational Psychology: Pearson New International Edition</t>
  </si>
  <si>
    <t>Eggen, Paul;Kauchak, Don P.</t>
  </si>
  <si>
    <t>https://ebookcentral.proquest.com/lib/seucn/detail.action?docID=5136760</t>
  </si>
  <si>
    <t>Modern Labor Economics: Pearson New International Edition</t>
  </si>
  <si>
    <t>Ehrenberg, Ronald G;Smith, Robert S.</t>
  </si>
  <si>
    <t>https://ebookcentral.proquest.com/lib/seucn/detail.action?docID=5136762</t>
  </si>
  <si>
    <t>Tort Law 9e</t>
  </si>
  <si>
    <t>Elliott, Catherine;Quinn, Frances;Quinn, Frances</t>
  </si>
  <si>
    <t>https://ebookcentral.proquest.com/lib/seucn/detail.action?docID=5136769</t>
  </si>
  <si>
    <t>Contract Law</t>
  </si>
  <si>
    <t>Elliott, Catherine;Quinn, Frances</t>
  </si>
  <si>
    <t>https://ebookcentral.proquest.com/lib/seucn/detail.action?docID=5136770</t>
  </si>
  <si>
    <t>Business Analytics: Pearson New International Edition</t>
  </si>
  <si>
    <t>Evans, James R.</t>
  </si>
  <si>
    <t>https://ebookcentral.proquest.com/lib/seucn/detail.action?docID=5136777</t>
  </si>
  <si>
    <t>Discovering the Life Span: Pearson New International Edition</t>
  </si>
  <si>
    <t>Feldman, Robert S</t>
  </si>
  <si>
    <t>https://ebookcentral.proquest.com/lib/seucn/detail.action?docID=5136780</t>
  </si>
  <si>
    <t>Meetings, Expositions, Events &amp; Conventions: Pearson New International Edition</t>
  </si>
  <si>
    <t>Fenich, George G.</t>
  </si>
  <si>
    <t>https://ebookcentral.proquest.com/lib/seucn/detail.action?docID=5136782</t>
  </si>
  <si>
    <t>Digital Fundamentals: Pearson New International Edition</t>
  </si>
  <si>
    <t>Floyd, Thomas L</t>
  </si>
  <si>
    <t>https://ebookcentral.proquest.com/lib/seucn/detail.action?docID=5136789</t>
  </si>
  <si>
    <t>Introducing Human Resource Management</t>
  </si>
  <si>
    <t>Foot, Margaret;Hook, Caroline;Hook, Caroline</t>
  </si>
  <si>
    <t>HF5549.F5875 2011</t>
  </si>
  <si>
    <t>https://ebookcentral.proquest.com/lib/seucn/detail.action?docID=5136791</t>
  </si>
  <si>
    <t>Little, Brown Handbook, The: Pearson New International Edition</t>
  </si>
  <si>
    <t>Fowler, H Ramsey;Aaron, Jane E.</t>
  </si>
  <si>
    <t>https://ebookcentral.proquest.com/lib/seucn/detail.action?docID=5136795</t>
  </si>
  <si>
    <t>Evolutionary Analysis: Pearson New International Edition</t>
  </si>
  <si>
    <t>Freeman, Scott;Herron, Jon C.</t>
  </si>
  <si>
    <t>https://ebookcentral.proquest.com/lib/seucn/detail.action?docID=5136796</t>
  </si>
  <si>
    <t>Starting Out with C++: From Control Structures through Objects</t>
  </si>
  <si>
    <t>Gaddis, Tony</t>
  </si>
  <si>
    <t>https://ebookcentral.proquest.com/lib/seucn/detail.action?docID=5136798</t>
  </si>
  <si>
    <t>Starting Out with Python: Pearson New International Edition</t>
  </si>
  <si>
    <t>Computer Science/IT</t>
  </si>
  <si>
    <t>https://ebookcentral.proquest.com/lib/seucn/detail.action?docID=5136799</t>
  </si>
  <si>
    <t>Starting out with Visual C# 2010: Pearson New International Edition</t>
  </si>
  <si>
    <t>https://ebookcentral.proquest.com/lib/seucn/detail.action?docID=5136800</t>
  </si>
  <si>
    <t>Persuasion: Pearson New International Edition</t>
  </si>
  <si>
    <t>Gass, Robert H.;Seiter, John S.</t>
  </si>
  <si>
    <t>https://ebookcentral.proquest.com/lib/seucn/detail.action?docID=5136803</t>
  </si>
  <si>
    <t>Educational Research: Pearson New International Edition</t>
  </si>
  <si>
    <t>Gay, Lorraine R.;Mills, Geoffrey E.;Airasian, Peter W.</t>
  </si>
  <si>
    <t>https://ebookcentral.proquest.com/lib/seucn/detail.action?docID=5136804</t>
  </si>
  <si>
    <t>Law Express Question and Answer: Tort Law</t>
  </si>
  <si>
    <t>Geach, Neal</t>
  </si>
  <si>
    <t>https://ebookcentral.proquest.com/lib/seucn/detail.action?docID=5136806</t>
  </si>
  <si>
    <t>Transport Processes and Separation Process Principles (Includes Unit Operations): Pearson New International Edition</t>
  </si>
  <si>
    <t>Geankoplis, Christie John</t>
  </si>
  <si>
    <t>https://ebookcentral.proquest.com/lib/seucn/detail.action?docID=5136807</t>
  </si>
  <si>
    <t>Developmental Psychology</t>
  </si>
  <si>
    <t>Gillibrand, Rachel;Lam, Virginia;O'Donnell, Victoria L.;Gillibrand, Rachel;O'Donnell, Victoria L.</t>
  </si>
  <si>
    <t>Psychology; Business/Management</t>
  </si>
  <si>
    <t>BF713</t>
  </si>
  <si>
    <t>https://ebookcentral.proquest.com/lib/seucn/detail.action?docID=5136809</t>
  </si>
  <si>
    <t>Principles of Managerial Finance: Global Edition</t>
  </si>
  <si>
    <t>Gitman, Lawrence J.</t>
  </si>
  <si>
    <t>https://ebookcentral.proquest.com/lib/seucn/detail.action?docID=5136811</t>
  </si>
  <si>
    <t>Occupational Safety and Health for Technologists, Engineers, and Managers: Pearson New International Edition</t>
  </si>
  <si>
    <t>Goetsch, David L.</t>
  </si>
  <si>
    <t>https://ebookcentral.proquest.com/lib/seucn/detail.action?docID=5136813</t>
  </si>
  <si>
    <t>Theories of Human Development: Pearson New International Edition</t>
  </si>
  <si>
    <t>Green, Michael;Piel, John A.;Piel, John A.</t>
  </si>
  <si>
    <t>https://ebookcentral.proquest.com/lib/seucn/detail.action?docID=5136814</t>
  </si>
  <si>
    <t>Psychological Testing: Pearson New International Edition</t>
  </si>
  <si>
    <t>Gregory, Robert J.</t>
  </si>
  <si>
    <t>https://ebookcentral.proquest.com/lib/seucn/detail.action?docID=5136815</t>
  </si>
  <si>
    <t>Law Express Question and Answer: EU Law</t>
  </si>
  <si>
    <t>Guth, Jessica;Connor, Timothy;Connor, Timothy</t>
  </si>
  <si>
    <t>KJE947</t>
  </si>
  <si>
    <t>https://ebookcentral.proquest.com/lib/seucn/detail.action?docID=5136817</t>
  </si>
  <si>
    <t>Law Express Question and Answer: Contract Law</t>
  </si>
  <si>
    <t>Hamilton, Marina</t>
  </si>
  <si>
    <t>KD1554</t>
  </si>
  <si>
    <t>https://ebookcentral.proquest.com/lib/seucn/detail.action?docID=5136820</t>
  </si>
  <si>
    <t>Environment and Society: Pearson New International Edition</t>
  </si>
  <si>
    <t>Harper, Charles L.</t>
  </si>
  <si>
    <t>https://ebookcentral.proquest.com/lib/seucn/detail.action?docID=5136823</t>
  </si>
  <si>
    <t>Family Law</t>
  </si>
  <si>
    <t>KD750.H47 2013</t>
  </si>
  <si>
    <t>346.4201/5</t>
  </si>
  <si>
    <t>https://ebookcentral.proquest.com/lib/seucn/detail.action?docID=5136827</t>
  </si>
  <si>
    <t>Conceptual Physics: Pearson New International Edition</t>
  </si>
  <si>
    <t>Hewitt, Paul G</t>
  </si>
  <si>
    <t>https://ebookcentral.proquest.com/lib/seucn/detail.action?docID=5136828</t>
  </si>
  <si>
    <t>Practice Book for Conceptual Physics: Pearson New International Edition</t>
  </si>
  <si>
    <t>https://ebookcentral.proquest.com/lib/seucn/detail.action?docID=5136829</t>
  </si>
  <si>
    <t>Chemistry For Changing Times: Pearson New International Edition</t>
  </si>
  <si>
    <t>Hill, John W.;McCreary, Terry W.;Kolb, Doris K.</t>
  </si>
  <si>
    <t>https://ebookcentral.proquest.com/lib/seucn/detail.action?docID=5136833</t>
  </si>
  <si>
    <t>Hoffer:Modern Database Management International Edition_p11</t>
  </si>
  <si>
    <t>Hoffer, Jeffrey;Ramesh, V;Topi, Heikki</t>
  </si>
  <si>
    <t>https://ebookcentral.proquest.com/lib/seucn/detail.action?docID=5136835</t>
  </si>
  <si>
    <t>Social Psychology</t>
  </si>
  <si>
    <t>Hogg, Michael;Vaughan, Graham;Vaughan, Graham</t>
  </si>
  <si>
    <t>HM1033.H623 2010</t>
  </si>
  <si>
    <t>https://ebookcentral.proquest.com/lib/seucn/detail.action?docID=5136836</t>
  </si>
  <si>
    <t>Probability and Statistical Inference: Pearson New International Edition</t>
  </si>
  <si>
    <t>Hogg, Robert V.;Tanis, Elliot</t>
  </si>
  <si>
    <t>https://ebookcentral.proquest.com/lib/seucn/detail.action?docID=5136837</t>
  </si>
  <si>
    <t>Global Marketing</t>
  </si>
  <si>
    <t>Hollensen, Svend</t>
  </si>
  <si>
    <t>HF1416.H65 2013</t>
  </si>
  <si>
    <t>658.8/4</t>
  </si>
  <si>
    <t>https://ebookcentral.proquest.com/lib/seucn/detail.action?docID=5136839</t>
  </si>
  <si>
    <t>Business of Tourism</t>
  </si>
  <si>
    <t>Holloway, Chris;Humphreys, Claire;Humphreys, Claire</t>
  </si>
  <si>
    <t>Geography/Travel; Tourism/Hospitality</t>
  </si>
  <si>
    <t>G155.H65 2012</t>
  </si>
  <si>
    <t>https://ebookcentral.proquest.com/lib/seucn/detail.action?docID=5136840</t>
  </si>
  <si>
    <t>Introduction to Forensic and Criminal Psychology</t>
  </si>
  <si>
    <t>Howitt, Dennis</t>
  </si>
  <si>
    <t>Health; Social Science</t>
  </si>
  <si>
    <t>RA1148</t>
  </si>
  <si>
    <t>https://ebookcentral.proquest.com/lib/seucn/detail.action?docID=5136845</t>
  </si>
  <si>
    <t>Introduction to Statistics in Psychology</t>
  </si>
  <si>
    <t>BF39.H74 2010</t>
  </si>
  <si>
    <t>150.1/5195</t>
  </si>
  <si>
    <t>https://ebookcentral.proquest.com/lib/seucn/detail.action?docID=5136846</t>
  </si>
  <si>
    <t>Electrical and Electronic Technology : UEL</t>
  </si>
  <si>
    <t>Hughes, Edward;Hiley, John;Brown, Keith;Hiley, John;Brown, Keith;Smith, Ian McKenzie</t>
  </si>
  <si>
    <t>TK146.H9 2012</t>
  </si>
  <si>
    <t>Electrical engineering</t>
  </si>
  <si>
    <t>https://ebookcentral.proquest.com/lib/seucn/detail.action?docID=5136851</t>
  </si>
  <si>
    <t>Modern Engineering Mathematics</t>
  </si>
  <si>
    <t>James, Glyn</t>
  </si>
  <si>
    <t>https://ebookcentral.proquest.com/lib/seucn/detail.action?docID=5136860</t>
  </si>
  <si>
    <t>Brilliant Interview</t>
  </si>
  <si>
    <t>Jay, Ros</t>
  </si>
  <si>
    <t>https://ebookcentral.proquest.com/lib/seucn/detail.action?docID=5136861</t>
  </si>
  <si>
    <t>Criminal Law 11e</t>
  </si>
  <si>
    <t>Jefferson, Michael</t>
  </si>
  <si>
    <t>https://ebookcentral.proquest.com/lib/seucn/detail.action?docID=5136863</t>
  </si>
  <si>
    <t>Selling and Sales Management</t>
  </si>
  <si>
    <t>Jobber, David;Lancaster, Geoffrey;Lancaster, Geoffrey</t>
  </si>
  <si>
    <t>HF5438.25.J63 2012</t>
  </si>
  <si>
    <t>658.8/1</t>
  </si>
  <si>
    <t>https://ebookcentral.proquest.com/lib/seucn/detail.action?docID=5136864</t>
  </si>
  <si>
    <t>Children and Their Development: Pearson New International Edition</t>
  </si>
  <si>
    <t>Kail, Robert V.</t>
  </si>
  <si>
    <t>https://ebookcentral.proquest.com/lib/seucn/detail.action?docID=5136868</t>
  </si>
  <si>
    <t>Death, Society and Human Experience: Pearson New International Edition</t>
  </si>
  <si>
    <t>Kastenbaum, Robert J.</t>
  </si>
  <si>
    <t>https://ebookcentral.proquest.com/lib/seucn/detail.action?docID=5136869</t>
  </si>
  <si>
    <t>Strategic Marketing Problems: International Edition</t>
  </si>
  <si>
    <t>Kerin, Roger;Peterson, Robert</t>
  </si>
  <si>
    <t>https://ebookcentral.proquest.com/lib/seucn/detail.action?docID=5136872</t>
  </si>
  <si>
    <t>Concepts of Genetics: Pearson New International Edition</t>
  </si>
  <si>
    <t>Klug, William S.;Cummings, Michael R.;Spencer, Charlotte A.</t>
  </si>
  <si>
    <t>https://ebookcentral.proquest.com/lib/seucn/detail.action?docID=5136873</t>
  </si>
  <si>
    <t>College Physics: Pearson New International Edition</t>
  </si>
  <si>
    <t>Knight, Randall D.;Jones, Brian;Field, Stuart</t>
  </si>
  <si>
    <t>https://ebookcentral.proquest.com/lib/seucn/detail.action?docID=5136875</t>
  </si>
  <si>
    <t>Human Geography: Pearson New International Edition</t>
  </si>
  <si>
    <t>Knox, Paul L.;Marston, Sallie A</t>
  </si>
  <si>
    <t>https://ebookcentral.proquest.com/lib/seucn/detail.action?docID=5136876</t>
  </si>
  <si>
    <t>Operations Management:Processes and Supply Chains: Global Edition</t>
  </si>
  <si>
    <t>Krajewski, Lee J.;Ritzman, Larry P.;Malhotra, Manoj K</t>
  </si>
  <si>
    <t>https://ebookcentral.proquest.com/lib/seucn/detail.action?docID=5136879</t>
  </si>
  <si>
    <t>Experiencing MIS: Pearson New International Edition</t>
  </si>
  <si>
    <t>Kroenke, David M.</t>
  </si>
  <si>
    <t>https://ebookcentral.proquest.com/lib/seucn/detail.action?docID=5136881</t>
  </si>
  <si>
    <t>Legal Environment of Business: Pearson New International Edition</t>
  </si>
  <si>
    <t>Kubasek, Nancy K.;Brennan, Bartley A;Browne, M. Neil</t>
  </si>
  <si>
    <t>https://ebookcentral.proquest.com/lib/seucn/detail.action?docID=5136885</t>
  </si>
  <si>
    <t>Henderson's Dictionary of Biology</t>
  </si>
  <si>
    <t>Benjamin Cummings</t>
  </si>
  <si>
    <t>Lawrence, Eleanor</t>
  </si>
  <si>
    <t>Science: Biology/Natural History; Science</t>
  </si>
  <si>
    <t>QH302.5.H45 2011</t>
  </si>
  <si>
    <t>Biology</t>
  </si>
  <si>
    <t>https://ebookcentral.proquest.com/lib/seucn/detail.action?docID=5136888</t>
  </si>
  <si>
    <t>History of Psychology: Pearson New International Edition</t>
  </si>
  <si>
    <t>Leahey, Thomas H.</t>
  </si>
  <si>
    <t>https://ebookcentral.proquest.com/lib/seucn/detail.action?docID=5136889</t>
  </si>
  <si>
    <t>Linear Algebra with Applications: Pearson New International Edition</t>
  </si>
  <si>
    <t>Leon, Steve</t>
  </si>
  <si>
    <t>https://ebookcentral.proquest.com/lib/seucn/detail.action?docID=5136892</t>
  </si>
  <si>
    <t>Writing Research Papers: Pearson New International Edition</t>
  </si>
  <si>
    <t>Lester, Jim D.;Lester, James D.</t>
  </si>
  <si>
    <t>https://ebookcentral.proquest.com/lib/seucn/detail.action?docID=5136893</t>
  </si>
  <si>
    <t>Mathematics with Applications: Pearson New International Edition</t>
  </si>
  <si>
    <t>Lial, Margaret;Hungerford, Thomas W.;Holcomb, John P.</t>
  </si>
  <si>
    <t>https://ebookcentral.proquest.com/lib/seucn/detail.action?docID=5136895</t>
  </si>
  <si>
    <t>Finite Mathematics with Applications: Pearson New International Edition</t>
  </si>
  <si>
    <t>https://ebookcentral.proquest.com/lib/seucn/detail.action?docID=5136896</t>
  </si>
  <si>
    <t>Lilienfeld, Scott O;Lynn, Steven J;Namy, Laura L</t>
  </si>
  <si>
    <t>https://ebookcentral.proquest.com/lib/seucn/detail.action?docID=5136900</t>
  </si>
  <si>
    <t>Mathematical Reasoning for Elementary School Teachers: Pearson New International Edition</t>
  </si>
  <si>
    <t>Long, Calvin T.;DeTemple, Duane W.;Millman, Richard S.</t>
  </si>
  <si>
    <t>https://ebookcentral.proquest.com/lib/seucn/detail.action?docID=5136902</t>
  </si>
  <si>
    <t>Essentials of Geology: Pearson New International Edition</t>
  </si>
  <si>
    <t>Lutgens, Frederick K;Tarbuck, Edward J.;Tasa, Dennis G.</t>
  </si>
  <si>
    <t>https://ebookcentral.proquest.com/lib/seucn/detail.action?docID=5136904</t>
  </si>
  <si>
    <t>World War II: Pearson New International Edition</t>
  </si>
  <si>
    <t>Lyons, Michael J.</t>
  </si>
  <si>
    <t>History</t>
  </si>
  <si>
    <t>https://ebookcentral.proquest.com/lib/seucn/detail.action?docID=5136905</t>
  </si>
  <si>
    <t>Law Express Question and Answer: Company Law (Q&amp;A Revision Guide)</t>
  </si>
  <si>
    <t>Ma, Fang</t>
  </si>
  <si>
    <t>https://ebookcentral.proquest.com/lib/seucn/detail.action?docID=5136906</t>
  </si>
  <si>
    <t>Sociology: Pearson New International Edition</t>
  </si>
  <si>
    <t>Macionis, John J</t>
  </si>
  <si>
    <t>https://ebookcentral.proquest.com/lib/seucn/detail.action?docID=5136909</t>
  </si>
  <si>
    <t>Personality, Individual Differences and Intelligence</t>
  </si>
  <si>
    <t>Maltby, John;Day, Liz;Macaskill, Ann;Macaskill, Ann;Day, Liz</t>
  </si>
  <si>
    <t>BF698.9.I6M35 2009</t>
  </si>
  <si>
    <t>https://ebookcentral.proquest.com/lib/seucn/detail.action?docID=5136910</t>
  </si>
  <si>
    <t>Human Anatomy &amp; Physiology: Pearson New International Edition</t>
  </si>
  <si>
    <t>Marieb, Elaine N.;Hoehn, Katja</t>
  </si>
  <si>
    <t>https://ebookcentral.proquest.com/lib/seucn/detail.action?docID=5136912</t>
  </si>
  <si>
    <t>Entrepreneurship: Pearson New International Edition</t>
  </si>
  <si>
    <t>Mariotti, Steve;Glackin, Caroline</t>
  </si>
  <si>
    <t>https://ebookcentral.proquest.com/lib/seucn/detail.action?docID=5136913</t>
  </si>
  <si>
    <t>Behavior Modification: Pearson New International Edition</t>
  </si>
  <si>
    <t>Martin, Garry L.;Pear, Joseph;Pear, Joseph J.</t>
  </si>
  <si>
    <t>https://ebookcentral.proquest.com/lib/seucn/detail.action?docID=5136914</t>
  </si>
  <si>
    <t>Fundamentals of Anatomy &amp; Physiology: Pearson New International Edition</t>
  </si>
  <si>
    <t>Martini, Frederic H.;Nath, Judi L.;Bartholomew, Edwin F.</t>
  </si>
  <si>
    <t>https://ebookcentral.proquest.com/lib/seucn/detail.action?docID=5136916</t>
  </si>
  <si>
    <t>Visual Anatomy &amp; Physiology: Pearson New International Edition</t>
  </si>
  <si>
    <t>Martini, Frederic H.;Ober, William C.;Nath, Judi L.</t>
  </si>
  <si>
    <t>https://ebookcentral.proquest.com/lib/seucn/detail.action?docID=5136917</t>
  </si>
  <si>
    <t>Strategic Compensation: Pearson New International Edition</t>
  </si>
  <si>
    <t>Martocchio, Joseph J.</t>
  </si>
  <si>
    <t>https://ebookcentral.proquest.com/lib/seucn/detail.action?docID=5136918</t>
  </si>
  <si>
    <t>Learning &amp; Behavior: Pearson New International Edition</t>
  </si>
  <si>
    <t>Mazur, James E.</t>
  </si>
  <si>
    <t>https://ebookcentral.proquest.com/lib/seucn/detail.action?docID=5136919</t>
  </si>
  <si>
    <t>Organization Theory : Challenges and Perspectives</t>
  </si>
  <si>
    <t>McAuley, John;Johnson, Philip;Duberley, Joanne;Duberley, Joanne;Johnson, Philip</t>
  </si>
  <si>
    <t>HM786.M33 2007</t>
  </si>
  <si>
    <t>302.3/5</t>
  </si>
  <si>
    <t>https://ebookcentral.proquest.com/lib/seucn/detail.action?docID=5136920</t>
  </si>
  <si>
    <t>Letters to a Law Student : A guide to studying law at university</t>
  </si>
  <si>
    <t>McBride, Nicholas J</t>
  </si>
  <si>
    <t>KD442.M36 2010</t>
  </si>
  <si>
    <t>https://ebookcentral.proquest.com/lib/seucn/detail.action?docID=5136921</t>
  </si>
  <si>
    <t>Clinical Laboratory Hematology: Pearson New International Edition</t>
  </si>
  <si>
    <t>McKenzie, Shirlyn B.</t>
  </si>
  <si>
    <t>https://ebookcentral.proquest.com/lib/seucn/detail.action?docID=5136924</t>
  </si>
  <si>
    <t>McMurry, John E.;Fay, Robert C.</t>
  </si>
  <si>
    <t>https://ebookcentral.proquest.com/lib/seucn/detail.action?docID=5136927</t>
  </si>
  <si>
    <t>Financial Markets and Institutions: Global Edition</t>
  </si>
  <si>
    <t>Mishkin, Frederic S;Eakins, Stanley</t>
  </si>
  <si>
    <t>https://ebookcentral.proquest.com/lib/seucn/detail.action?docID=5136932</t>
  </si>
  <si>
    <t>Law Express Question and Answer: Criminal Law (Q&amp;A Revision Guide)</t>
  </si>
  <si>
    <t>Monaghan, Nicola</t>
  </si>
  <si>
    <t>https://ebookcentral.proquest.com/lib/seucn/detail.action?docID=5136935</t>
  </si>
  <si>
    <t>Advertising Principles &amp; Practices: Global Edition</t>
  </si>
  <si>
    <t>Moriarty, Sandra;Mitchell, Nancy;Wells, William</t>
  </si>
  <si>
    <t>https://ebookcentral.proquest.com/lib/seucn/detail.action?docID=5136938</t>
  </si>
  <si>
    <t>Early Childhood Education Today: Pearson New International Edition</t>
  </si>
  <si>
    <t>Morrison, George S.</t>
  </si>
  <si>
    <t>https://ebookcentral.proquest.com/lib/seucn/detail.action?docID=5136939</t>
  </si>
  <si>
    <t>Introduction to Health Psychology</t>
  </si>
  <si>
    <t>Morrison, Val;Bennett, Paul;Bennett, Paul</t>
  </si>
  <si>
    <t>R726.7.M77 2012</t>
  </si>
  <si>
    <t>Clinical health psychology</t>
  </si>
  <si>
    <t>https://ebookcentral.proquest.com/lib/seucn/detail.action?docID=5136940</t>
  </si>
  <si>
    <t>History of Asia, A: Pearson New International Edition</t>
  </si>
  <si>
    <t>Murphey, Rhoads</t>
  </si>
  <si>
    <t>https://ebookcentral.proquest.com/lib/seucn/detail.action?docID=5136945</t>
  </si>
  <si>
    <t>Contemporary Logistics: Pearson New International Edition</t>
  </si>
  <si>
    <t>Murphy Jr, Paul R;Wood, Donald Michael</t>
  </si>
  <si>
    <t>https://ebookcentral.proquest.com/lib/seucn/detail.action?docID=5136946</t>
  </si>
  <si>
    <t>Inside Track to Writing Dissertations and Theses</t>
  </si>
  <si>
    <t>Murray, Neil;Beglar, David;Beglar, David</t>
  </si>
  <si>
    <t>Literature; Education</t>
  </si>
  <si>
    <t>LB2369</t>
  </si>
  <si>
    <t>Dissertations, Academic - Authorship</t>
  </si>
  <si>
    <t>https://ebookcentral.proquest.com/lib/seucn/detail.action?docID=5136947</t>
  </si>
  <si>
    <t>Art and Science of Leadership, The: Pearson New International Edition</t>
  </si>
  <si>
    <t>Nahavandi, Afsaneh</t>
  </si>
  <si>
    <t>https://ebookcentral.proquest.com/lib/seucn/detail.action?docID=5136949</t>
  </si>
  <si>
    <t>Issues in Aging: Pearson New International Edition</t>
  </si>
  <si>
    <t>Novak, Mark</t>
  </si>
  <si>
    <t>https://ebookcentral.proquest.com/lib/seucn/detail.action?docID=5136952</t>
  </si>
  <si>
    <t>International Political Economy: Pearson New International Edition</t>
  </si>
  <si>
    <t>Oatley, Thomas</t>
  </si>
  <si>
    <t>HF1359.O25 2014</t>
  </si>
  <si>
    <t>https://ebookcentral.proquest.com/lib/seucn/detail.action?docID=5136954</t>
  </si>
  <si>
    <t>Abnormal Psychology: Pearson New International Edition</t>
  </si>
  <si>
    <t>Oltmanns, Thomas F.;Emery, Robert E.</t>
  </si>
  <si>
    <t>https://ebookcentral.proquest.com/lib/seucn/detail.action?docID=5136955</t>
  </si>
  <si>
    <t>Human Learning: Pearson New International Edition</t>
  </si>
  <si>
    <t>Ormrod, Jeanne Ellis</t>
  </si>
  <si>
    <t>https://ebookcentral.proquest.com/lib/seucn/detail.action?docID=5136957</t>
  </si>
  <si>
    <t>Language Development: Pearson New International Edition</t>
  </si>
  <si>
    <t>Owens, Robert E.</t>
  </si>
  <si>
    <t>https://ebookcentral.proquest.com/lib/seucn/detail.action?docID=5136958</t>
  </si>
  <si>
    <t>Introduction to Communication Disorders: Pearson New International Edition</t>
  </si>
  <si>
    <t>Owens, Robert E.;Metz, Dale Evan;Farinella, Kimberly A.</t>
  </si>
  <si>
    <t>https://ebookcentral.proquest.com/lib/seucn/detail.action?docID=5136959</t>
  </si>
  <si>
    <t>Corporate Computer Security: Pearson New International Edition</t>
  </si>
  <si>
    <t>Panko, Raymond R.;Boyle, Randy J</t>
  </si>
  <si>
    <t>https://ebookcentral.proquest.com/lib/seucn/detail.action?docID=5136961</t>
  </si>
  <si>
    <t>Contemporary Engineering Economics: Pearson New International Edition</t>
  </si>
  <si>
    <t>Park, Chan S.</t>
  </si>
  <si>
    <t>https://ebookcentral.proquest.com/lib/seucn/detail.action?docID=5136963</t>
  </si>
  <si>
    <t>Microeconomics, Global Edition</t>
  </si>
  <si>
    <t>Parkin, Michael</t>
  </si>
  <si>
    <t>https://ebookcentral.proquest.com/lib/seucn/detail.action?docID=5136965</t>
  </si>
  <si>
    <t>Macroeconomics, Global Edition</t>
  </si>
  <si>
    <t>https://ebookcentral.proquest.com/lib/seucn/detail.action?docID=5136966</t>
  </si>
  <si>
    <t>Economics European Edition</t>
  </si>
  <si>
    <t>Parkin, Michael;Powell, Melanie;Matthews, Kent</t>
  </si>
  <si>
    <t>https://ebookcentral.proquest.com/lib/seucn/detail.action?docID=5136967</t>
  </si>
  <si>
    <t>International Organizations: Pearson New International Edition</t>
  </si>
  <si>
    <t>Pease, Kelly-Kate S.</t>
  </si>
  <si>
    <t>https://ebookcentral.proquest.com/lib/seucn/detail.action?docID=5136968</t>
  </si>
  <si>
    <t>Introduction to Agricultural Economics: Pearson New International Edition</t>
  </si>
  <si>
    <t>Penson, John B.;Capps, Oral T.;Rosson, C. Parr</t>
  </si>
  <si>
    <t>https://ebookcentral.proquest.com/lib/seucn/detail.action?docID=5136969</t>
  </si>
  <si>
    <t>Contemporary Society: Pearson New International Edition</t>
  </si>
  <si>
    <t>Perry, John;Perry, Erna</t>
  </si>
  <si>
    <t>https://ebookcentral.proquest.com/lib/seucn/detail.action?docID=5136971</t>
  </si>
  <si>
    <t>Strategic Staffing: Pearson New International Edition</t>
  </si>
  <si>
    <t>Phillips, Jean M;Gully, Stan</t>
  </si>
  <si>
    <t>https://ebookcentral.proquest.com/lib/seucn/detail.action?docID=5136972</t>
  </si>
  <si>
    <t>Corporate Finance and Investment</t>
  </si>
  <si>
    <t>Pike, Richard;Neale, Bill;Linsley, Philip;Neale, Bill;Linsley, Philip</t>
  </si>
  <si>
    <t>HG4135.P35 2012</t>
  </si>
  <si>
    <t>https://ebookcentral.proquest.com/lib/seucn/detail.action?docID=5136974</t>
  </si>
  <si>
    <t>Biopsychology: Pearson New International Edition</t>
  </si>
  <si>
    <t>Pinel, John P. J.</t>
  </si>
  <si>
    <t>https://ebookcentral.proquest.com/lib/seucn/detail.action?docID=5136975</t>
  </si>
  <si>
    <t>Program Evaluation: Pearson New International Edition</t>
  </si>
  <si>
    <t>Posavac, Emil J.</t>
  </si>
  <si>
    <t>https://ebookcentral.proquest.com/lib/seucn/detail.action?docID=5136976</t>
  </si>
  <si>
    <t>Classical Myth: Pearson New International Edition</t>
  </si>
  <si>
    <t>Powell, Barry B.</t>
  </si>
  <si>
    <t>https://ebookcentral.proquest.com/lib/seucn/detail.action?docID=5136977</t>
  </si>
  <si>
    <t>Law for Journalists</t>
  </si>
  <si>
    <t>Quinn, Frances</t>
  </si>
  <si>
    <t>KD2875</t>
  </si>
  <si>
    <t>349.4202/407</t>
  </si>
  <si>
    <t>https://ebookcentral.proquest.com/lib/seucn/detail.action?docID=5136981</t>
  </si>
  <si>
    <t>Campbell Biology: Pearson New International Edition</t>
  </si>
  <si>
    <t>Reece, Jane B.;Taylor, Martha R.;Simon, Eric J.</t>
  </si>
  <si>
    <t>https://ebookcentral.proquest.com/lib/seucn/detail.action?docID=5136984</t>
  </si>
  <si>
    <t>Law of Contract</t>
  </si>
  <si>
    <t>Richards, Paul</t>
  </si>
  <si>
    <t>https://ebookcentral.proquest.com/lib/seucn/detail.action?docID=5136989</t>
  </si>
  <si>
    <t>Supervision Today!: Pearson New International Edition</t>
  </si>
  <si>
    <t>Robbins, Stephen P;DeCenzo, David A.;Wolter, Robert M.</t>
  </si>
  <si>
    <t>https://ebookcentral.proquest.com/lib/seucn/detail.action?docID=5136994</t>
  </si>
  <si>
    <t>Political Science: Pearson New International Edition</t>
  </si>
  <si>
    <t>Roskin, Michael G.;Cord, Robert L.;Medeiros, James A.</t>
  </si>
  <si>
    <t>https://ebookcentral.proquest.com/lib/seucn/detail.action?docID=5136996</t>
  </si>
  <si>
    <t>Diversity Amid Globalization: Pearson New International Edition</t>
  </si>
  <si>
    <t>Rowntree, Lester;Lewis, Martin;Price, Marie</t>
  </si>
  <si>
    <t>https://ebookcentral.proquest.com/lib/seucn/detail.action?docID=5136997</t>
  </si>
  <si>
    <t>Criminalistics: Pearson New International Edition</t>
  </si>
  <si>
    <t>Saferstein, Richard</t>
  </si>
  <si>
    <t>https://ebookcentral.proquest.com/lib/seucn/detail.action?docID=5136998</t>
  </si>
  <si>
    <t>Statistics for the Life Sciences: Pearson New International Edition</t>
  </si>
  <si>
    <t>Samuels, Myra L.;Witmer, Jeffrey A.;Schaffner, Andrew</t>
  </si>
  <si>
    <t>https://ebookcentral.proquest.com/lib/seucn/detail.action?docID=5136999</t>
  </si>
  <si>
    <t>Research Methods for Business Students</t>
  </si>
  <si>
    <t>Saunders, Mark N.K.;Lewis, Philip;Thornhill, Adrian;Lewis, Philip;Thornhill, Adrian</t>
  </si>
  <si>
    <t>HD30.4.S28 2012</t>
  </si>
  <si>
    <t>https://ebookcentral.proquest.com/lib/seucn/detail.action?docID=5137002</t>
  </si>
  <si>
    <t>Absolute Java: International Edition</t>
  </si>
  <si>
    <t>Savitch, Walter</t>
  </si>
  <si>
    <t>https://ebookcentral.proquest.com/lib/seucn/detail.action?docID=5137003</t>
  </si>
  <si>
    <t>Absolute C++: International Edition</t>
  </si>
  <si>
    <t>https://ebookcentral.proquest.com/lib/seucn/detail.action?docID=5137004</t>
  </si>
  <si>
    <t>Problem Solving with C++</t>
  </si>
  <si>
    <t>https://ebookcentral.proquest.com/lib/seucn/detail.action?docID=5137005</t>
  </si>
  <si>
    <t>Racial and Ethnic Groups: Pearson New International Edition</t>
  </si>
  <si>
    <t>Schaefer, Richard T.</t>
  </si>
  <si>
    <t>https://ebookcentral.proquest.com/lib/seucn/detail.action?docID=5137008</t>
  </si>
  <si>
    <t>Psychology and Work Today: Pearson New International Edition</t>
  </si>
  <si>
    <t>Schultz, Duane;Schultz, Sydney Ellen;Schultz, Sydney Ellen</t>
  </si>
  <si>
    <t>https://ebookcentral.proquest.com/lib/seucn/detail.action?docID=5137009</t>
  </si>
  <si>
    <t>Organizations and Organizing: Pearson New International Edition</t>
  </si>
  <si>
    <t>Scott, W. Richard;Davis, Gerald F</t>
  </si>
  <si>
    <t>https://ebookcentral.proquest.com/lib/seucn/detail.action?docID=5137010</t>
  </si>
  <si>
    <t>Workplace Communications: Pearson New International Edition</t>
  </si>
  <si>
    <t>Searles, George J.</t>
  </si>
  <si>
    <t>https://ebookcentral.proquest.com/lib/seucn/detail.action?docID=5137011</t>
  </si>
  <si>
    <t>Concepts of Programming Languages: International Edition</t>
  </si>
  <si>
    <t>Sebesta, Robert W.</t>
  </si>
  <si>
    <t>https://ebookcentral.proquest.com/lib/seucn/detail.action?docID=5137012</t>
  </si>
  <si>
    <t>Business Statistics: Pearson New International Edition</t>
  </si>
  <si>
    <t>Sharpe, Norean D.;De Veaux, Richard D.;Velleman, Paul</t>
  </si>
  <si>
    <t>https://ebookcentral.proquest.com/lib/seucn/detail.action?docID=5137013</t>
  </si>
  <si>
    <t>Cross-Cultural Psychology: Pearson New International Edition</t>
  </si>
  <si>
    <t>Shiraev, Eric B.;Levy, David A.</t>
  </si>
  <si>
    <t>https://ebookcentral.proquest.com/lib/seucn/detail.action?docID=5137015</t>
  </si>
  <si>
    <t>Human Physiology: Pearson New International Edition</t>
  </si>
  <si>
    <t>Silverthorn, Dee Unglaub</t>
  </si>
  <si>
    <t>Science; Science: Anatomy/Physiology</t>
  </si>
  <si>
    <t>https://ebookcentral.proquest.com/lib/seucn/detail.action?docID=5137017</t>
  </si>
  <si>
    <t>Campbell Essential Biology 5th Edition: Pearson New International Edition</t>
  </si>
  <si>
    <t>Simon, Eric J.;Dickey, Jean L.;Reece, Jane B.</t>
  </si>
  <si>
    <t>https://ebookcentral.proquest.com/lib/seucn/detail.action?docID=5137018</t>
  </si>
  <si>
    <t>Campbell Essential Biology with Physiology: Pearson New International Edition</t>
  </si>
  <si>
    <t>https://ebookcentral.proquest.com/lib/seucn/detail.action?docID=5137019</t>
  </si>
  <si>
    <t>Economics</t>
  </si>
  <si>
    <t>Sloman, John;Wride, Alison;Garratt, Dean;Wride, Alison;Garratt, Dean</t>
  </si>
  <si>
    <t>HB171.5.S635 2012</t>
  </si>
  <si>
    <t>https://ebookcentral.proquest.com/lib/seucn/detail.action?docID=5137023</t>
  </si>
  <si>
    <t>Property Law : Cases and Materials</t>
  </si>
  <si>
    <t>https://ebookcentral.proquest.com/lib/seucn/detail.action?docID=5137026</t>
  </si>
  <si>
    <t>Elements of Ecology: Pearson New International Edition</t>
  </si>
  <si>
    <t>Smith, Thomas M.;Smith, Robert Leo;Smith, Robert Leo</t>
  </si>
  <si>
    <t>https://ebookcentral.proquest.com/lib/seucn/detail.action?docID=5137027</t>
  </si>
  <si>
    <t>Better Business: Pearson New International Edition</t>
  </si>
  <si>
    <t>Solomon, Michael R;Poatsy, Mary Anne;Martin, Kendall;Poatsy, MaryAnne;Martin, Kendall</t>
  </si>
  <si>
    <t>https://ebookcentral.proquest.com/lib/seucn/detail.action?docID=5137030</t>
  </si>
  <si>
    <t>Strategic Management and Organisational Dynamics : the challenge of complexity</t>
  </si>
  <si>
    <t>Stacey, Ralph.D.</t>
  </si>
  <si>
    <t>HD30.28.S663 2010</t>
  </si>
  <si>
    <t>658.4/012</t>
  </si>
  <si>
    <t>https://ebookcentral.proquest.com/lib/seucn/detail.action?docID=5137031</t>
  </si>
  <si>
    <t>Sullivan, Michael;Sullivan, Michael, III;Sullivan, Michael</t>
  </si>
  <si>
    <t>https://ebookcentral.proquest.com/lib/seucn/detail.action?docID=5137040</t>
  </si>
  <si>
    <t>Modern Operating Systems: Pearson New International Edition</t>
  </si>
  <si>
    <t>Tanenbaum, Andrew S.</t>
  </si>
  <si>
    <t>https://ebookcentral.proquest.com/lib/seucn/detail.action?docID=5137043</t>
  </si>
  <si>
    <t>Rules of Love : A personal code for happier, more fulfilling relationships</t>
  </si>
  <si>
    <t>Psychology; Social Science</t>
  </si>
  <si>
    <t>HM1106.T43 2013</t>
  </si>
  <si>
    <t>Love</t>
  </si>
  <si>
    <t>https://ebookcentral.proquest.com/lib/seucn/detail.action?docID=5137048</t>
  </si>
  <si>
    <t>Rules of Wealth : A personal code for prosperity and plenty</t>
  </si>
  <si>
    <t>Economics; Business/Management</t>
  </si>
  <si>
    <t>HB251</t>
  </si>
  <si>
    <t>332.024/01</t>
  </si>
  <si>
    <t>https://ebookcentral.proquest.com/lib/seucn/detail.action?docID=5137050</t>
  </si>
  <si>
    <t>Excellence in Business Communication: International Edition</t>
  </si>
  <si>
    <t>Thill, John V;Bovee, Courtland L</t>
  </si>
  <si>
    <t>https://ebookcentral.proquest.com/lib/seucn/detail.action?docID=5137054</t>
  </si>
  <si>
    <t>Law Express Question and Answer: Constitutional and Administrative law</t>
  </si>
  <si>
    <t>Thirlaway, Victoria</t>
  </si>
  <si>
    <t>https://ebookcentral.proquest.com/lib/seucn/detail.action?docID=5137056</t>
  </si>
  <si>
    <t>Environmental &amp; Natural Resources Economics: Pearson New International Edition</t>
  </si>
  <si>
    <t>Tietenberg, Tom;Lewis, Lynne</t>
  </si>
  <si>
    <t>https://ebookcentral.proquest.com/lib/seucn/detail.action?docID=5137058</t>
  </si>
  <si>
    <t>Timberlake, Karen C</t>
  </si>
  <si>
    <t>https://ebookcentral.proquest.com/lib/seucn/detail.action?docID=5137060</t>
  </si>
  <si>
    <t>General, Organic, and Biological Chemistry: Pearson New International Edition</t>
  </si>
  <si>
    <t>Timberlake, Karen C.</t>
  </si>
  <si>
    <t>https://ebookcentral.proquest.com/lib/seucn/detail.action?docID=5137061</t>
  </si>
  <si>
    <t>Microbiology: Pearson New International Edition</t>
  </si>
  <si>
    <t>Tortora, Gerard J.;Funke, Berdell R.;Case, Christine L.</t>
  </si>
  <si>
    <t>https://ebookcentral.proquest.com/lib/seucn/detail.action?docID=5137062</t>
  </si>
  <si>
    <t>Essentials of Statistics: Pearson New International Edition</t>
  </si>
  <si>
    <t>Triola, Mario F.</t>
  </si>
  <si>
    <t>https://ebookcentral.proquest.com/lib/seucn/detail.action?docID=5137063</t>
  </si>
  <si>
    <t>Principles of Chemistry: Pearson New International Edition</t>
  </si>
  <si>
    <t>Tro, Nivaldo J.</t>
  </si>
  <si>
    <t>https://ebookcentral.proquest.com/lib/seucn/detail.action?docID=5137065</t>
  </si>
  <si>
    <t>https://ebookcentral.proquest.com/lib/seucn/detail.action?docID=5137066</t>
  </si>
  <si>
    <t>Decision Support and Business Intelligence Systems: Pearson New International Edition</t>
  </si>
  <si>
    <t>Turban, Efraim;Sharda, Ramesh E;Delen, Dursun</t>
  </si>
  <si>
    <t>https://ebookcentral.proquest.com/lib/seucn/detail.action?docID=5137067</t>
  </si>
  <si>
    <t>Fundamentals of Applied Electromagnetics: Pearson New International Edition</t>
  </si>
  <si>
    <t>Ulaby, Fawwaz T.;Michielssen, Eric;Ravaioli, Umberto</t>
  </si>
  <si>
    <t>https://ebookcentral.proquest.com/lib/seucn/detail.action?docID=5137069</t>
  </si>
  <si>
    <t>Essentials of Systems Analysis and Design: Pearson New International Edition</t>
  </si>
  <si>
    <t>Valacich, Joseph;George, Joey;Hoffer, Jeffrey A.</t>
  </si>
  <si>
    <t>https://ebookcentral.proquest.com/lib/seucn/detail.action?docID=5137070</t>
  </si>
  <si>
    <t>Elementary and Middle School Mathematics: Pearson New International Edition</t>
  </si>
  <si>
    <t>Van de Walle, John A.;Karp, Karen S.;Bay-Williams, Jennifer M.;Karp, Karen S.;Bay-Williams, Jennifer M.</t>
  </si>
  <si>
    <t>Mathematics; Education</t>
  </si>
  <si>
    <t>QA135.6.V36 2014</t>
  </si>
  <si>
    <t>https://ebookcentral.proquest.com/lib/seucn/detail.action?docID=5137071</t>
  </si>
  <si>
    <t>Wade, Leroy G.</t>
  </si>
  <si>
    <t>https://ebookcentral.proquest.com/lib/seucn/detail.action?docID=5137073</t>
  </si>
  <si>
    <t>Corporate Finance Principles and Practice</t>
  </si>
  <si>
    <t>Watson, Denzil;Head, Antony;Head, Antony</t>
  </si>
  <si>
    <t>HG4026.W375 2010</t>
  </si>
  <si>
    <t>https://ebookcentral.proquest.com/lib/seucn/detail.action?docID=5137080</t>
  </si>
  <si>
    <t>Corporate Finance, 6th edition : Principles and Practice</t>
  </si>
  <si>
    <t>HG4026.W373 2013</t>
  </si>
  <si>
    <t>Corporations - Finance</t>
  </si>
  <si>
    <t>https://ebookcentral.proquest.com/lib/seucn/detail.action?docID=5137081</t>
  </si>
  <si>
    <t>Policy Analysis: Pearson New International Edition</t>
  </si>
  <si>
    <t>Weimer, David;Vining, Aidan R.</t>
  </si>
  <si>
    <t>https://ebookcentral.proquest.com/lib/seucn/detail.action?docID=5137087</t>
  </si>
  <si>
    <t>Practical Skills in Biology</t>
  </si>
  <si>
    <t>Weyers, Jonathan;Reed, Rob;Jones, Allan;Reed, Rob;Jones, Allan</t>
  </si>
  <si>
    <t>https://ebookcentral.proquest.com/lib/seucn/detail.action?docID=5137088</t>
  </si>
  <si>
    <t>Practical Skills in Biomolecular Sciences</t>
  </si>
  <si>
    <t>Weyers, Jonathan;Reed, Rob;Jones, Allan;Reed, Rob;Jones, Allan;Holmes, David A.</t>
  </si>
  <si>
    <t>Science; Science: Biology/Natural History</t>
  </si>
  <si>
    <t>QH506</t>
  </si>
  <si>
    <t>https://ebookcentral.proquest.com/lib/seucn/detail.action?docID=5137089</t>
  </si>
  <si>
    <t>Abnormal Child and Adolescent Psychology: Pearson New International Edition</t>
  </si>
  <si>
    <t>Wicks-Nelson, Rita `;Israel, Allen C.</t>
  </si>
  <si>
    <t>https://ebookcentral.proquest.com/lib/seucn/detail.action?docID=5137091</t>
  </si>
  <si>
    <t>Public Relations: Pearson New International Edition</t>
  </si>
  <si>
    <t>Wilcox, Dennis L.;Cameron, Glen T.</t>
  </si>
  <si>
    <t>https://ebookcentral.proquest.com/lib/seucn/detail.action?docID=5137092</t>
  </si>
  <si>
    <t>Smith and Keenan's Company Law</t>
  </si>
  <si>
    <t>Wild, Charles;Weinstein, Stuart;Weinstein, Stuart</t>
  </si>
  <si>
    <t>KD2079.S55 2013</t>
  </si>
  <si>
    <t>https://ebookcentral.proquest.com/lib/seucn/detail.action?docID=5137094</t>
  </si>
  <si>
    <t>Law Express Question and Answer: English Legal System 2nd edn</t>
  </si>
  <si>
    <t>Wilson, Gary</t>
  </si>
  <si>
    <t>https://ebookcentral.proquest.com/lib/seucn/detail.action?docID=5137096</t>
  </si>
  <si>
    <t>Environment: Pearson New International Edition</t>
  </si>
  <si>
    <t>Withgott, Jay H.;Brennan, Scott R.</t>
  </si>
  <si>
    <t>https://ebookcentral.proquest.com/lib/seucn/detail.action?docID=5137097</t>
  </si>
  <si>
    <t>Essential University Physics: Pearson New International Edition</t>
  </si>
  <si>
    <t>Wolfson, Richard</t>
  </si>
  <si>
    <t>https://ebookcentral.proquest.com/lib/seucn/detail.action?docID=5137098</t>
  </si>
  <si>
    <t>https://ebookcentral.proquest.com/lib/seucn/detail.action?docID=5137099</t>
  </si>
  <si>
    <t>Woolfolk, Anita</t>
  </si>
  <si>
    <t>https://ebookcentral.proquest.com/lib/seucn/detail.action?docID=5137101</t>
  </si>
  <si>
    <t>Stuttering: Pearson New International Edition</t>
  </si>
  <si>
    <t>Yairi, Ehud H.;Seery, Carol H.</t>
  </si>
  <si>
    <t>https://ebookcentral.proquest.com/lib/seucn/detail.action?docID=5137103</t>
  </si>
  <si>
    <t>Young, Hugh D.</t>
  </si>
  <si>
    <t>https://ebookcentral.proquest.com/lib/seucn/detail.action?docID=5137104</t>
  </si>
  <si>
    <t>Essentials of Marketing Research</t>
  </si>
  <si>
    <t>Malhotra, Naresh K;Birks, David F.;Wills, Peter A.;Birks, David F.;Wills, Peter A.</t>
  </si>
  <si>
    <t>HF5415.2</t>
  </si>
  <si>
    <t>Marketing research</t>
  </si>
  <si>
    <t>https://ebookcentral.proquest.com/lib/seucn/detail.action?docID=5137109</t>
  </si>
  <si>
    <t>Brilliant Negotiations 2e : What the best Negotiators Know, Do and Say</t>
  </si>
  <si>
    <t>https://ebookcentral.proquest.com/lib/seucn/detail.action?docID=5137117</t>
  </si>
  <si>
    <t>Management Communication: Financial Times Briefing</t>
  </si>
  <si>
    <t>Adler, Gordon</t>
  </si>
  <si>
    <t>https://ebookcentral.proquest.com/lib/seucn/detail.action?docID=5137135</t>
  </si>
  <si>
    <t>Change Your Life with NLP 2e : The Powerful Way to Make Your Whole Life Better</t>
  </si>
  <si>
    <t>Agness, Lindsey</t>
  </si>
  <si>
    <t>BF637.N46A36 2010</t>
  </si>
  <si>
    <t>Neurolinguistic programming</t>
  </si>
  <si>
    <t>https://ebookcentral.proquest.com/lib/seucn/detail.action?docID=5137136</t>
  </si>
  <si>
    <t>Statistical Methods for the Social Sciences: Pearson New International Edition</t>
  </si>
  <si>
    <t>Agresti, Alan;Finlay, Barbara;Finlay, Barbara</t>
  </si>
  <si>
    <t>https://ebookcentral.proquest.com/lib/seucn/detail.action?docID=5137137</t>
  </si>
  <si>
    <t>Statistics: Pearson New International Edition</t>
  </si>
  <si>
    <t>Agresti, Alan;Franklin, Christine;Franklin, Christine</t>
  </si>
  <si>
    <t>https://ebookcentral.proquest.com/lib/seucn/detail.action?docID=5137138</t>
  </si>
  <si>
    <t>Leadership Book</t>
  </si>
  <si>
    <t>Anderson, Mark</t>
  </si>
  <si>
    <t>HD57.7</t>
  </si>
  <si>
    <t>Leadership</t>
  </si>
  <si>
    <t>https://ebookcentral.proquest.com/lib/seucn/detail.action?docID=5137156</t>
  </si>
  <si>
    <t>Intermediate Algebra for College Students: Pearson New International Edition</t>
  </si>
  <si>
    <t>Angel, Allen R.;Runde, Dennis;Runde, Dennis C.</t>
  </si>
  <si>
    <t>https://ebookcentral.proquest.com/lib/seucn/detail.action?docID=5137160</t>
  </si>
  <si>
    <t>Adolescence and Emerging Adulthood: Pearson New International Edition</t>
  </si>
  <si>
    <t>Arnett, Jeffrey J.</t>
  </si>
  <si>
    <t>https://ebookcentral.proquest.com/lib/seucn/detail.action?docID=5137178</t>
  </si>
  <si>
    <t>Human Development: Pearson New International Edition</t>
  </si>
  <si>
    <t>https://ebookcentral.proquest.com/lib/seucn/detail.action?docID=5137179</t>
  </si>
  <si>
    <t>Great Investors : Lessons on Investing from Master Traders</t>
  </si>
  <si>
    <t>Arnold, Glen</t>
  </si>
  <si>
    <t>https://ebookcentral.proquest.com/lib/seucn/detail.action?docID=5137182</t>
  </si>
  <si>
    <t>Statistics for Psychology: Pearson New International Edition</t>
  </si>
  <si>
    <t>Aron, Arthur;Aron, Elaine N.;Coups, Elliot;Aron, Elaine N.;Coups, Elliot;Cole Publishing</t>
  </si>
  <si>
    <t>https://ebookcentral.proquest.com/lib/seucn/detail.action?docID=5137190</t>
  </si>
  <si>
    <t>Algebra: Pearson New International Edition</t>
  </si>
  <si>
    <t>Artin, Michael</t>
  </si>
  <si>
    <t>https://ebookcentral.proquest.com/lib/seucn/detail.action?docID=5137195</t>
  </si>
  <si>
    <t>Brilliant Checklists for Entrepreneurs : Your Shortcut to Success</t>
  </si>
  <si>
    <t>Ashton, Robert</t>
  </si>
  <si>
    <t>https://ebookcentral.proquest.com/lib/seucn/detail.action?docID=5137199</t>
  </si>
  <si>
    <t>Audesirk, Gerald;Audesirk, Teresa;Byers, Bruce E.</t>
  </si>
  <si>
    <t>https://ebookcentral.proquest.com/lib/seucn/detail.action?docID=5137210</t>
  </si>
  <si>
    <t>THINK Psychology: Pearson New International Edition</t>
  </si>
  <si>
    <t>Baird, Abigail A.</t>
  </si>
  <si>
    <t>https://ebookcentral.proquest.com/lib/seucn/detail.action?docID=5137223</t>
  </si>
  <si>
    <t>Discrete-Event System Simulation: Pearson New International Edition</t>
  </si>
  <si>
    <t>Banks, Jerry;Carson, John S.;Nelson, Barry L.;Carson, John S., II;Nelson, Barry L.;Nicol, David M.</t>
  </si>
  <si>
    <t>https://ebookcentral.proquest.com/lib/seucn/detail.action?docID=5137236</t>
  </si>
  <si>
    <t>Genius! : Deceptively simple ways to become instantly smarter</t>
  </si>
  <si>
    <t>Bannerman, James</t>
  </si>
  <si>
    <t>https://ebookcentral.proquest.com/lib/seucn/detail.action?docID=5137237</t>
  </si>
  <si>
    <t>Criminology: Pearson New International Edition</t>
  </si>
  <si>
    <t>Barkan, Steve E.</t>
  </si>
  <si>
    <t>https://ebookcentral.proquest.com/lib/seucn/detail.action?docID=5137240</t>
  </si>
  <si>
    <t>Mechanics of Flight</t>
  </si>
  <si>
    <t>Barnard, R.H.;Philpott, D.R.;Kermode, A.C.;Philpott, D. R.;Kermode, A. C.</t>
  </si>
  <si>
    <t>Engineering: Mechanical; Engineering; Engineering: General</t>
  </si>
  <si>
    <t>TL570</t>
  </si>
  <si>
    <t>https://ebookcentral.proquest.com/lib/seucn/detail.action?docID=5137245</t>
  </si>
  <si>
    <t>Short Guide to writing about Literature:Pearson New International Edition</t>
  </si>
  <si>
    <t>Barnet, Sylvan;Cain, William E.;Cain, William E.</t>
  </si>
  <si>
    <t>Literature</t>
  </si>
  <si>
    <t>https://ebookcentral.proquest.com/lib/seucn/detail.action?docID=5137247</t>
  </si>
  <si>
    <t>Gaining and Sustaining Competitive Advantage: Pearson New International Edition</t>
  </si>
  <si>
    <t>Barney, Jay</t>
  </si>
  <si>
    <t>https://ebookcentral.proquest.com/lib/seucn/detail.action?docID=5137251</t>
  </si>
  <si>
    <t>Social Psychology: Pearson New International Edition</t>
  </si>
  <si>
    <t>Baron, Robert A;Branscombe, Nyla R.</t>
  </si>
  <si>
    <t>https://ebookcentral.proquest.com/lib/seucn/detail.action?docID=5137254</t>
  </si>
  <si>
    <t>Statistics for Economics, Accounting and Business Studies</t>
  </si>
  <si>
    <t>Barrow, Michael</t>
  </si>
  <si>
    <t>Mathematics; Business/Management</t>
  </si>
  <si>
    <t>HB137.B37 2012</t>
  </si>
  <si>
    <t>https://ebookcentral.proquest.com/lib/seucn/detail.action?docID=5137259</t>
  </si>
  <si>
    <t>Criminal Behavior: Pearson New International Edition</t>
  </si>
  <si>
    <t>Bartol, Curt R.;Bartol, Anne M.</t>
  </si>
  <si>
    <t>https://ebookcentral.proquest.com/lib/seucn/detail.action?docID=5137260</t>
  </si>
  <si>
    <t>Microbiology with Diseases by Taxonomy: Pearson New International Edition</t>
  </si>
  <si>
    <t>https://ebookcentral.proquest.com/lib/seucn/detail.action?docID=5137263</t>
  </si>
  <si>
    <t>Articulatory and Phonological Impairments: Pearson New International Edition</t>
  </si>
  <si>
    <t>Bauman-Waengler, Jacqueline</t>
  </si>
  <si>
    <t>https://ebookcentral.proquest.com/lib/seucn/detail.action?docID=5137266</t>
  </si>
  <si>
    <t>Words Their Way Letter and Picture Sorts for Emergent Spellers: Pearson New International Edition</t>
  </si>
  <si>
    <t>Bear, Donald R.;Invernizzi, Marcia R.;Johnston, Francine R.</t>
  </si>
  <si>
    <t>https://ebookcentral.proquest.com/lib/seucn/detail.action?docID=5137271</t>
  </si>
  <si>
    <t>Understanding 12-Lead EKGs: Pearson New International Edition</t>
  </si>
  <si>
    <t>Beasley, Brenda M.;West, Michael C.;West, Michael C.</t>
  </si>
  <si>
    <t>https://ebookcentral.proquest.com/lib/seucn/detail.action?docID=5137275</t>
  </si>
  <si>
    <t>Hydrology and Floodplain Analysis: International Edition</t>
  </si>
  <si>
    <t>Bedient, Philip B.;Huber, Wayne C.;Vieux, Baxter E.</t>
  </si>
  <si>
    <t>https://ebookcentral.proquest.com/lib/seucn/detail.action?docID=5137278</t>
  </si>
  <si>
    <t>Developing Child, The: Pearson New International Edition</t>
  </si>
  <si>
    <t>Bee, Helen;Boyd, Denise;Boyd, Denise G.</t>
  </si>
  <si>
    <t>https://ebookcentral.proquest.com/lib/seucn/detail.action?docID=5137279</t>
  </si>
  <si>
    <t>Public Speaking: Pearson New International Edition</t>
  </si>
  <si>
    <t>Beebe, Steven A.;Beebe, Susan J.</t>
  </si>
  <si>
    <t>https://ebookcentral.proquest.com/lib/seucn/detail.action?docID=5137280</t>
  </si>
  <si>
    <t>Algebra and Trigonometry: Pearson New International Edition</t>
  </si>
  <si>
    <t>Beecher, Judith A.;Penna, Judith A.;Bittinger, Marvin L.;Penna, Judith A.;Bittinger, Marvin L.</t>
  </si>
  <si>
    <t>https://ebookcentral.proquest.com/lib/seucn/detail.action?docID=5137289</t>
  </si>
  <si>
    <t>Beecher, Judith A;Penna, Judith A;Bittinger, Marvin L</t>
  </si>
  <si>
    <t>https://ebookcentral.proquest.com/lib/seucn/detail.action?docID=5137290</t>
  </si>
  <si>
    <t>College Algebra: Pearson New International Edition</t>
  </si>
  <si>
    <t>Beecher, Judith A;Penna, Judith A;Bittinger, Marvin L.;Penna, Judith A.;Bittinger, Marvin L.</t>
  </si>
  <si>
    <t>https://ebookcentral.proquest.com/lib/seucn/detail.action?docID=5137291</t>
  </si>
  <si>
    <t>Forensic Chemistry: Pearson New International Edition</t>
  </si>
  <si>
    <t>Bell, Suzanne</t>
  </si>
  <si>
    <t>https://ebookcentral.proquest.com/lib/seucn/detail.action?docID=5137302</t>
  </si>
  <si>
    <t>Arts and Culture: Pearson New International Edition</t>
  </si>
  <si>
    <t>Benton, Janetta Rebold;DiYanni, Robert;Benton, Janetta Rebold</t>
  </si>
  <si>
    <t>Fine Arts</t>
  </si>
  <si>
    <t>https://ebookcentral.proquest.com/lib/seucn/detail.action?docID=5137311</t>
  </si>
  <si>
    <t>Qualitative Research Methods for the Social Sciences: Pearson New International Edition</t>
  </si>
  <si>
    <t>Berg, Bruce L.;Lune, Howard;Lune, Howard</t>
  </si>
  <si>
    <t>https://ebookcentral.proquest.com/lib/seucn/detail.action?docID=5137314</t>
  </si>
  <si>
    <t>Parents as Partners in Education: Pearson New International Edition</t>
  </si>
  <si>
    <t>Berger, Eugenia Hepworth;Riojas-Cortez, Mari R.;Riojas-Cortez, Mari R.</t>
  </si>
  <si>
    <t>https://ebookcentral.proquest.com/lib/seucn/detail.action?docID=5137315</t>
  </si>
  <si>
    <t>Corporate Finance, Global Edition</t>
  </si>
  <si>
    <t>Berk, Jonathan;DeMarzo, Peter</t>
  </si>
  <si>
    <t>https://ebookcentral.proquest.com/lib/seucn/detail.action?docID=5137318</t>
  </si>
  <si>
    <t>Retail Management: International Edition</t>
  </si>
  <si>
    <t>Berman, Barry R;Evans, Joel R</t>
  </si>
  <si>
    <t>https://ebookcentral.proquest.com/lib/seucn/detail.action?docID=5137323</t>
  </si>
  <si>
    <t>Fundamentals of Clinical Supervision: Pearson New International Edition</t>
  </si>
  <si>
    <t>Bernard, Janine M.;Goodyear, Rodney K.;Goodyear, Rodney K.</t>
  </si>
  <si>
    <t>Social Science; Health</t>
  </si>
  <si>
    <t>https://ebookcentral.proquest.com/lib/seucn/detail.action?docID=5137325</t>
  </si>
  <si>
    <t>Research in Education: Pearson New International Edition</t>
  </si>
  <si>
    <t>Best, John W.;Kahn, James V.;Kahn, James V.</t>
  </si>
  <si>
    <t>https://ebookcentral.proquest.com/lib/seucn/detail.action?docID=5137327</t>
  </si>
  <si>
    <t>Problem Solving Approach to Mathematics for Elementary School Teachers, A: Pearson New International Edition</t>
  </si>
  <si>
    <t>Billstein, Rick;Libeskind, Shlomo;Lott, Johnny W.;Libeskind, Shlomo;Lott, Johnny W.</t>
  </si>
  <si>
    <t>https://ebookcentral.proquest.com/lib/seucn/detail.action?docID=5137333</t>
  </si>
  <si>
    <t>Developmental Mathematics: Pearson New International Edition</t>
  </si>
  <si>
    <t>Bittinger, Marvin L.;Beecher, Judith A;Beecher, Judith A.</t>
  </si>
  <si>
    <t>https://ebookcentral.proquest.com/lib/seucn/detail.action?docID=5137339</t>
  </si>
  <si>
    <t>Journey of Adulthood: Pearson New International Edition</t>
  </si>
  <si>
    <t>Bjorklund, Barbara R.</t>
  </si>
  <si>
    <t>https://ebookcentral.proquest.com/lib/seucn/detail.action?docID=5137341</t>
  </si>
  <si>
    <t>Logistics Engineering &amp; Management: Pearson New International Edition</t>
  </si>
  <si>
    <t>Blanchard, Benjamin S.</t>
  </si>
  <si>
    <t>https://ebookcentral.proquest.com/lib/seucn/detail.action?docID=5137346</t>
  </si>
  <si>
    <t>Systems Engineering and Analysis: Pearson New International Edition</t>
  </si>
  <si>
    <t>Blanchard, Benjamin S;Fabrycky, Wolter J;Fabrycky, Wolter J.</t>
  </si>
  <si>
    <t>Engineering: General; Engineering</t>
  </si>
  <si>
    <t>https://ebookcentral.proquest.com/lib/seucn/detail.action?docID=5137347</t>
  </si>
  <si>
    <t>Thinking Mathematically: Pearson New International Edition</t>
  </si>
  <si>
    <t>Blitzer, Robert F</t>
  </si>
  <si>
    <t>https://ebookcentral.proquest.com/lib/seucn/detail.action?docID=5137361</t>
  </si>
  <si>
    <t>https://ebookcentral.proquest.com/lib/seucn/detail.action?docID=5137362</t>
  </si>
  <si>
    <t>Blitzer, Robert F.</t>
  </si>
  <si>
    <t>https://ebookcentral.proquest.com/lib/seucn/detail.action?docID=5137363</t>
  </si>
  <si>
    <t>Student Solutions Manual for Thinking Mathematically: Pearson New International Edition</t>
  </si>
  <si>
    <t>https://ebookcentral.proquest.com/lib/seucn/detail.action?docID=5137364</t>
  </si>
  <si>
    <t>https://ebookcentral.proquest.com/lib/seucn/detail.action?docID=5137365</t>
  </si>
  <si>
    <t>Evaluating Practice: Pearson New International Edition</t>
  </si>
  <si>
    <t>Bloom, Martin;Fischer, Joel;Orme, John G.;Fischer, Joel;Orme, John G.</t>
  </si>
  <si>
    <t>https://ebookcentral.proquest.com/lib/seucn/detail.action?docID=5137367</t>
  </si>
  <si>
    <t>Ethics and the Conduct of Business: Pearson New International Edition</t>
  </si>
  <si>
    <t>Boatright, John R.</t>
  </si>
  <si>
    <t>https://ebookcentral.proquest.com/lib/seucn/detail.action?docID=5137374</t>
  </si>
  <si>
    <t>Principles of Sedimentology and Stratigraphy: Pearson New International Edition</t>
  </si>
  <si>
    <t>Boggs, Sam</t>
  </si>
  <si>
    <t>Science: Geology; Science</t>
  </si>
  <si>
    <t>https://ebookcentral.proquest.com/lib/seucn/detail.action?docID=5137381</t>
  </si>
  <si>
    <t>Body Language 3rd edn : How to know what's REALLY being said</t>
  </si>
  <si>
    <t>Borg, James</t>
  </si>
  <si>
    <t>BF637.N66B67 2013</t>
  </si>
  <si>
    <t>Body language</t>
  </si>
  <si>
    <t>https://ebookcentral.proquest.com/lib/seucn/detail.action?docID=5137387</t>
  </si>
  <si>
    <t>Music Fundamentals, Methods, and Materials for the Elementary Classroom Teacher: Pearson New International Edition</t>
  </si>
  <si>
    <t>Boyer, Rene;Rozmajzl, Michon;Rozmajzl, Michon</t>
  </si>
  <si>
    <t>https://ebookcentral.proquest.com/lib/seucn/detail.action?docID=5137395</t>
  </si>
  <si>
    <t>Direct Practice in Social Work: Pearson New International Edition</t>
  </si>
  <si>
    <t>Boyle, Scott W.;Smith, Larry L.;Farley, O. William;Smith, Larry Lorenzo;Farley, O. William;Hull, Grafton H.;Hurn-Mather, Jannah</t>
  </si>
  <si>
    <t>https://ebookcentral.proquest.com/lib/seucn/detail.action?docID=5137397</t>
  </si>
  <si>
    <t>Nature and Properties of Soils, The: Pearson New International Edition</t>
  </si>
  <si>
    <t>Brady, Nyle C.;Weil, Raymond;Brady, Nyle C.</t>
  </si>
  <si>
    <t>Agriculture</t>
  </si>
  <si>
    <t>https://ebookcentral.proquest.com/lib/seucn/detail.action?docID=5137402</t>
  </si>
  <si>
    <t>Elements of the Nature and Properties of Soils: Pearson New International Edition</t>
  </si>
  <si>
    <t>Brady, Nyle C.;Weil, Raymond R.;Brady, Nyle C.</t>
  </si>
  <si>
    <t>https://ebookcentral.proquest.com/lib/seucn/detail.action?docID=5137403</t>
  </si>
  <si>
    <t>Teaching Secondary and Middle School Mathematics: Pearson New International Edition</t>
  </si>
  <si>
    <t>Brahier, Daniel J.</t>
  </si>
  <si>
    <t>https://ebookcentral.proquest.com/lib/seucn/detail.action?docID=5137404</t>
  </si>
  <si>
    <t>Essentials of Accounting:International Edition</t>
  </si>
  <si>
    <t>Breitner, Leslie K.;Anthony, Robert N.</t>
  </si>
  <si>
    <t>https://ebookcentral.proquest.com/lib/seucn/detail.action?docID=5137409</t>
  </si>
  <si>
    <t>Bretscher, Otto</t>
  </si>
  <si>
    <t>https://ebookcentral.proquest.com/lib/seucn/detail.action?docID=5137411</t>
  </si>
  <si>
    <t>Introduction to Early Childhood Education: Pearson New International Edition</t>
  </si>
  <si>
    <t>Brewer, Jo Ann</t>
  </si>
  <si>
    <t>https://ebookcentral.proquest.com/lib/seucn/detail.action?docID=5137412</t>
  </si>
  <si>
    <t>Calculus for Scientists and Engineers: Pearson New International Edition</t>
  </si>
  <si>
    <t>Briggs, William L.;Cochran, Lyle;Gillett, Bernard</t>
  </si>
  <si>
    <t>https://ebookcentral.proquest.com/lib/seucn/detail.action?docID=5137417</t>
  </si>
  <si>
    <t>Financing Education in a Climate of Change: Pearson New International Edition</t>
  </si>
  <si>
    <t>Brimley, Vern;Verstegen, Deborah A.;Garfield, Rulon R.</t>
  </si>
  <si>
    <t>https://ebookcentral.proquest.com/lib/seucn/detail.action?docID=5137419</t>
  </si>
  <si>
    <t>Financial Accounting</t>
  </si>
  <si>
    <t>Britton, Anne;Waterston, Chris;Waterston, Christopher</t>
  </si>
  <si>
    <t>HF5636</t>
  </si>
  <si>
    <t>https://ebookcentral.proquest.com/lib/seucn/detail.action?docID=5137420</t>
  </si>
  <si>
    <t>History of the Theatre: Pearson New International Edition</t>
  </si>
  <si>
    <t>Brockett, Oscar G.;Hildy, Franklin J.;Hildy, Franklin J.</t>
  </si>
  <si>
    <t>https://ebookcentral.proquest.com/lib/seucn/detail.action?docID=5137421</t>
  </si>
  <si>
    <t>Life Span, The: Pearson New International Edition</t>
  </si>
  <si>
    <t>Broderick, Patricia C.;Blewitt, Pamela;Blewitt, Pamela</t>
  </si>
  <si>
    <t>https://ebookcentral.proquest.com/lib/seucn/detail.action?docID=5137422</t>
  </si>
  <si>
    <t>Educational Assessment of Students: Pearson New International Edition</t>
  </si>
  <si>
    <t>Brookhart, Susan M.;Nitko, Anthony J.;Nitko, Anthony J.</t>
  </si>
  <si>
    <t>https://ebookcentral.proquest.com/lib/seucn/detail.action?docID=5137423</t>
  </si>
  <si>
    <t>Managing Information Technology: Pearson New International Edition</t>
  </si>
  <si>
    <t>Brown, Carol V.;DeHayes, Daniel W;Hoffer, Jeffrey A.;DeHayes, Daniel W.;Hoffer, Jeffrey A.;Martin, Wainright E.;Perkins, William C.</t>
  </si>
  <si>
    <t>https://ebookcentral.proquest.com/lib/seucn/detail.action?docID=5137429</t>
  </si>
  <si>
    <t>Career Information, Career Counseling, and Career Development: Pearson New International Edition</t>
  </si>
  <si>
    <t>Brown, Duane</t>
  </si>
  <si>
    <t>https://ebookcentral.proquest.com/lib/seucn/detail.action?docID=5137432</t>
  </si>
  <si>
    <t>Laboratory Experiments for Chemistry: Pearson New International Edition</t>
  </si>
  <si>
    <t>Brown, Theodore E.;Nelson, John H.;Kemp, Kenneth C.</t>
  </si>
  <si>
    <t>https://ebookcentral.proquest.com/lib/seucn/detail.action?docID=5137434</t>
  </si>
  <si>
    <t>Study Guide and Student's Solutions Manual for Organic Chemistry: Pearson New International Edition</t>
  </si>
  <si>
    <t>https://ebookcentral.proquest.com/lib/seucn/detail.action?docID=5137440</t>
  </si>
  <si>
    <t>Computer Systems: Pearson New International Edition</t>
  </si>
  <si>
    <t>Bryant, Randal E;O'Hallaron, David R.</t>
  </si>
  <si>
    <t>https://ebookcentral.proquest.com/lib/seucn/detail.action?docID=5137443</t>
  </si>
  <si>
    <t>Financial Crisis : Causes, Context, and Consequences</t>
  </si>
  <si>
    <t>Buckley, Adrian</t>
  </si>
  <si>
    <t>HB3722</t>
  </si>
  <si>
    <t>Global Financial Crisis, 2008-2009</t>
  </si>
  <si>
    <t>https://ebookcentral.proquest.com/lib/seucn/detail.action?docID=5137446</t>
  </si>
  <si>
    <t>Managing Conflict through Communication: Pearson New International Edition</t>
  </si>
  <si>
    <t>Cahn, Dudley D.;Abigail, Ruth Anna;Abigail, Ruth Anna</t>
  </si>
  <si>
    <t>https://ebookcentral.proquest.com/lib/seucn/detail.action?docID=5137470</t>
  </si>
  <si>
    <t>Public School Law: Pearson New International Edition</t>
  </si>
  <si>
    <t>Cambron-McCabe, Nelda H.;McCarthy, Martha M.;Eckes, Suzanne E.;McCarthy, Martha M.;Eckes, Suzanne E.</t>
  </si>
  <si>
    <t>https://ebookcentral.proquest.com/lib/seucn/detail.action?docID=5137472</t>
  </si>
  <si>
    <t>Cappuccino, James G.;Sherman, Natalie;Sherman, Natalie</t>
  </si>
  <si>
    <t>https://ebookcentral.proquest.com/lib/seucn/detail.action?docID=5137480</t>
  </si>
  <si>
    <t>Foundations of Addiction Counseling: Pearson New International Edition</t>
  </si>
  <si>
    <t>Capuzzi, David;Stauffer, Mark D.;Stauffer, Mark D.</t>
  </si>
  <si>
    <t>https://ebookcentral.proquest.com/lib/seucn/detail.action?docID=5137481</t>
  </si>
  <si>
    <t>Teaching in the Middle and Secondary Schools: Pearson New International Edition</t>
  </si>
  <si>
    <t>Carjuzaa, Jioanna;Kellough, Richard D.;Kellough, Richard D.</t>
  </si>
  <si>
    <t>https://ebookcentral.proquest.com/lib/seucn/detail.action?docID=5137482</t>
  </si>
  <si>
    <t>Foundations of Behavioral Neuroscience: Pearson New International Edition</t>
  </si>
  <si>
    <t>Carlson, Neil R.</t>
  </si>
  <si>
    <t>Science: Anatomy/Physiology; Science</t>
  </si>
  <si>
    <t>https://ebookcentral.proquest.com/lib/seucn/detail.action?docID=5137483</t>
  </si>
  <si>
    <t>Physiology of Behavior: Pearson New International Edition</t>
  </si>
  <si>
    <t>Science; Science: Anatomy/Physiology; Science: Biology/Natural History</t>
  </si>
  <si>
    <t>QP360.C35 2014</t>
  </si>
  <si>
    <t>https://ebookcentral.proquest.com/lib/seucn/detail.action?docID=5137484</t>
  </si>
  <si>
    <t>Carlson, Neil R;Miller, Harold L.;Heth, Donald S.;Miller, Harold L.;Heth, Donald S.;Donahoe, John W.;Martin, G. Neil</t>
  </si>
  <si>
    <t>https://ebookcentral.proquest.com/lib/seucn/detail.action?docID=5137486</t>
  </si>
  <si>
    <t>Mathematics for the Trades: Pearson New International Edition</t>
  </si>
  <si>
    <t>Carman, Robert A.;Saunders, Hal M.</t>
  </si>
  <si>
    <t>https://ebookcentral.proquest.com/lib/seucn/detail.action?docID=5137488</t>
  </si>
  <si>
    <t>Labor Relations and Collective Bargaining: Pearson New International Edition</t>
  </si>
  <si>
    <t>Carrell, Michael R.;Heavrin, J.D., Christina;Heavrin, Christina</t>
  </si>
  <si>
    <t>https://ebookcentral.proquest.com/lib/seucn/detail.action?docID=5137494</t>
  </si>
  <si>
    <t>Keys to Thinking and Learning: Pearson New International Edition</t>
  </si>
  <si>
    <t>Carter, Carol J.;Bishop, Joyce;Kravits, Sarah Lyman;Bishop, Joyce;Kravits, Sarah Lyman</t>
  </si>
  <si>
    <t>https://ebookcentral.proquest.com/lib/seucn/detail.action?docID=5137498</t>
  </si>
  <si>
    <t>Enterprise and Small Business</t>
  </si>
  <si>
    <t>Carter, Sara;Jones-Evans, Dylan;Jones-Evans, Dylan</t>
  </si>
  <si>
    <t>HD62.7</t>
  </si>
  <si>
    <t>https://ebookcentral.proquest.com/lib/seucn/detail.action?docID=5137500</t>
  </si>
  <si>
    <t>Philosopher's Way, The: Pearson New International Edition</t>
  </si>
  <si>
    <t>Chaffee, John</t>
  </si>
  <si>
    <t>https://ebookcentral.proquest.com/lib/seucn/detail.action?docID=5137513</t>
  </si>
  <si>
    <t>E-Business and E-Commerce Management</t>
  </si>
  <si>
    <t>Chaffey, Dave</t>
  </si>
  <si>
    <t>HF5548.32.C472 2011</t>
  </si>
  <si>
    <t>658.8/72</t>
  </si>
  <si>
    <t>https://ebookcentral.proquest.com/lib/seucn/detail.action?docID=5137514</t>
  </si>
  <si>
    <t>Elementary Social Studies: Pearson New International Edition</t>
  </si>
  <si>
    <t>Chapin, June R.</t>
  </si>
  <si>
    <t>https://ebookcentral.proquest.com/lib/seucn/detail.action?docID=5137520</t>
  </si>
  <si>
    <t>Building Classroom Discipline: Pearson New International Edition</t>
  </si>
  <si>
    <t>Charles, C. M.</t>
  </si>
  <si>
    <t>https://ebookcentral.proquest.com/lib/seucn/detail.action?docID=5137523</t>
  </si>
  <si>
    <t>Business Law: Pearson New International Edition</t>
  </si>
  <si>
    <t>Cheeseman, Henry R.;Anthony, Joseph H.;Bettinghaus, Bruce;Smith, Kenneth;Cheeseman, Henry R.</t>
  </si>
  <si>
    <t>https://ebookcentral.proquest.com/lib/seucn/detail.action?docID=5137525</t>
  </si>
  <si>
    <t>Water-Resources Engineering: International Edition</t>
  </si>
  <si>
    <t>Chin, David A.</t>
  </si>
  <si>
    <t>https://ebookcentral.proquest.com/lib/seucn/detail.action?docID=5137531</t>
  </si>
  <si>
    <t>Natural Resource Conservation: Pearson New International Edition</t>
  </si>
  <si>
    <t>Chiras, Daniel D.;Reganold, John P.;Reganold, John</t>
  </si>
  <si>
    <t>Environmental Studies; Economics</t>
  </si>
  <si>
    <t>https://ebookcentral.proquest.com/lib/seucn/detail.action?docID=5137532</t>
  </si>
  <si>
    <t>Introduction to Occupation: Pearson New International Edition</t>
  </si>
  <si>
    <t>Christiansen, Charles;Townsend, Elizabeth;Townsend, Elizabeth</t>
  </si>
  <si>
    <t>https://ebookcentral.proquest.com/lib/seucn/detail.action?docID=5137537</t>
  </si>
  <si>
    <t>Influence: Pearson New International Edition</t>
  </si>
  <si>
    <t>Cialdini, Robert B.</t>
  </si>
  <si>
    <t>https://ebookcentral.proquest.com/lib/seucn/detail.action?docID=5137540</t>
  </si>
  <si>
    <t>Ciccarelli, Saundra;White, J. Noland;White, J. Noland</t>
  </si>
  <si>
    <t>https://ebookcentral.proquest.com/lib/seucn/detail.action?docID=5137542</t>
  </si>
  <si>
    <t>Community Health Nursing: Pearson New International Edition</t>
  </si>
  <si>
    <t>Clark, Mary Jo</t>
  </si>
  <si>
    <t>https://ebookcentral.proquest.com/lib/seucn/detail.action?docID=5137543</t>
  </si>
  <si>
    <t>Business Math Brief: Pearson New International Edition</t>
  </si>
  <si>
    <t>Cleaves, Cheryl;Hobbs, Margie;Noble, Jeffrey;Hobbs, Margie;Noble, Jeffrey</t>
  </si>
  <si>
    <t>https://ebookcentral.proquest.com/lib/seucn/detail.action?docID=5137548</t>
  </si>
  <si>
    <t>Tourism: Pearson New International Edition</t>
  </si>
  <si>
    <t>Cook, Roy A;Hsu, Cathy J.;Marqua, Joseph J;Hsu, Cathy J.;Marqua, Joseph J.</t>
  </si>
  <si>
    <t>https://ebookcentral.proquest.com/lib/seucn/detail.action?docID=5137567</t>
  </si>
  <si>
    <t>Essentials of Tourism</t>
  </si>
  <si>
    <t>Cooper, Chris</t>
  </si>
  <si>
    <t>Business/Management; Economics; Tourism/Hospitality</t>
  </si>
  <si>
    <t>G155.A1C677 2012</t>
  </si>
  <si>
    <t>338.4/791</t>
  </si>
  <si>
    <t>https://ebookcentral.proquest.com/lib/seucn/detail.action?docID=5137571</t>
  </si>
  <si>
    <t>Applied Behavior Analysis: Pearson New International Edition</t>
  </si>
  <si>
    <t>Cooper, John O.;Heron, Timothy E.;Heward, William L.;Heron, Timothy E.;Heward, William L.</t>
  </si>
  <si>
    <t>https://ebookcentral.proquest.com/lib/seucn/detail.action?docID=5137573</t>
  </si>
  <si>
    <t>Financial Theory and Corporate Policy: Pearson New International Edition</t>
  </si>
  <si>
    <t>Copeland, Thomas E.;Weston, J. Fred;Shastri, Kuldeep;Weston, J. Fred;Shastri, Kuldeep</t>
  </si>
  <si>
    <t>https://ebookcentral.proquest.com/lib/seucn/detail.action?docID=5137577</t>
  </si>
  <si>
    <t>Educational Leadership: Pearson New International Edition</t>
  </si>
  <si>
    <t>Cordeiro, Paula A.;Cunningham, William G.;Cunningham, William G.</t>
  </si>
  <si>
    <t>https://ebookcentral.proquest.com/lib/seucn/detail.action?docID=5137578</t>
  </si>
  <si>
    <t>Introductory Chemistry: Pearson New International Edition</t>
  </si>
  <si>
    <t>Corwin, Charles H.</t>
  </si>
  <si>
    <t>https://ebookcentral.proquest.com/lib/seucn/detail.action?docID=5137581</t>
  </si>
  <si>
    <t>Digital &amp; Analog Communication Systems: International Edition</t>
  </si>
  <si>
    <t>Couch, Leon W</t>
  </si>
  <si>
    <t>https://ebookcentral.proquest.com/lib/seucn/detail.action?docID=5137584</t>
  </si>
  <si>
    <t>Introduction to Robotics: Pearson New International Edition</t>
  </si>
  <si>
    <t>Craig, John J.</t>
  </si>
  <si>
    <t>https://ebookcentral.proquest.com/lib/seucn/detail.action?docID=5137593</t>
  </si>
  <si>
    <t>Creswell, John W.</t>
  </si>
  <si>
    <t>https://ebookcentral.proquest.com/lib/seucn/detail.action?docID=5137595</t>
  </si>
  <si>
    <t>Engineering Mathematics</t>
  </si>
  <si>
    <t>Croft, Anthony;Davison, Robert;Hargreaves, Martin;Davison, Robert;Hargreaves, Martin;Flint, James</t>
  </si>
  <si>
    <t>https://ebookcentral.proquest.com/lib/seucn/detail.action?docID=5137598</t>
  </si>
  <si>
    <t>How English Works: Pearson New International Edition</t>
  </si>
  <si>
    <t>Curzan, Anne;Adams, Michael</t>
  </si>
  <si>
    <t>https://ebookcentral.proquest.com/lib/seucn/detail.action?docID=5137604</t>
  </si>
  <si>
    <t>Law Express Question and Answer: Evidence Law (Q&amp;A Revision Guide)</t>
  </si>
  <si>
    <t>D'Alton-Harrison, Rita</t>
  </si>
  <si>
    <t>Evidence (Law) - England</t>
  </si>
  <si>
    <t>https://ebookcentral.proquest.com/lib/seucn/detail.action?docID=5137605</t>
  </si>
  <si>
    <t>Global Financial Systems : Stability and Risk</t>
  </si>
  <si>
    <t>Danielsson, Jon</t>
  </si>
  <si>
    <t>HG3881.D3266 2013</t>
  </si>
  <si>
    <t>International finance</t>
  </si>
  <si>
    <t>https://ebookcentral.proquest.com/lib/seucn/detail.action?docID=5137611</t>
  </si>
  <si>
    <t>Understanding the Political World: Pearson New International Edition</t>
  </si>
  <si>
    <t>Danziger, James N.</t>
  </si>
  <si>
    <t>Political Science</t>
  </si>
  <si>
    <t>https://ebookcentral.proquest.com/lib/seucn/detail.action?docID=5137612</t>
  </si>
  <si>
    <t>Davies, Tony;Crawford, Ian;Crawford, Ian</t>
  </si>
  <si>
    <t>HF5635</t>
  </si>
  <si>
    <t>Accounting</t>
  </si>
  <si>
    <t>https://ebookcentral.proquest.com/lib/seucn/detail.action?docID=5137623</t>
  </si>
  <si>
    <t>Education of the Gifted and Talented: Pearson New International Edition</t>
  </si>
  <si>
    <t>Davis, Gary A.;Rimm, Sylvia B.;Siegle, Del B.;Rimm, Sylvia B.;Siegle, Del</t>
  </si>
  <si>
    <t>https://ebookcentral.proquest.com/lib/seucn/detail.action?docID=5137625</t>
  </si>
  <si>
    <t>Law Express Question and Answer: Human Rights</t>
  </si>
  <si>
    <t>Davis, Howard</t>
  </si>
  <si>
    <t>https://ebookcentral.proquest.com/lib/seucn/detail.action?docID=5137626</t>
  </si>
  <si>
    <t>Introduction to Statistics and Research Methods: Pearson New International Edition</t>
  </si>
  <si>
    <t>Davis, Stephen F.;Smith, Randolph A.;Smith, Randolph A.</t>
  </si>
  <si>
    <t>https://ebookcentral.proquest.com/lib/seucn/detail.action?docID=5137628</t>
  </si>
  <si>
    <t>Stats: Pearson New International Edition</t>
  </si>
  <si>
    <t>De Veaux, Richard D.;Velleman, Paul F.;Bock, David E.</t>
  </si>
  <si>
    <t>https://ebookcentral.proquest.com/lib/seucn/detail.action?docID=5137637</t>
  </si>
  <si>
    <t>Intro Stats: Pearson New International Edition</t>
  </si>
  <si>
    <t>De Veaux, Richard D.;Velleman, Paul F.;Bock, David E.;Velleman, Paul F.;Bock, David E.</t>
  </si>
  <si>
    <t>QA276.12</t>
  </si>
  <si>
    <t>https://ebookcentral.proquest.com/lib/seucn/detail.action?docID=5137638</t>
  </si>
  <si>
    <t>Practical Skills in Chemistry</t>
  </si>
  <si>
    <t>Dean, John;Holmes, David;Jones, Alan M;Holmes, David;Jones, Alan M.;Jones, Allan;Reed, Rob;Weyers, Jonathan</t>
  </si>
  <si>
    <t>QD45</t>
  </si>
  <si>
    <t>https://ebookcentral.proquest.com/lib/seucn/detail.action?docID=5137641</t>
  </si>
  <si>
    <t>Inside Track to Academic Research, Writing &amp; Referencing</t>
  </si>
  <si>
    <t>Deane, Mary</t>
  </si>
  <si>
    <t>PN181</t>
  </si>
  <si>
    <t>Literacy</t>
  </si>
  <si>
    <t>https://ebookcentral.proquest.com/lib/seucn/detail.action?docID=5137642</t>
  </si>
  <si>
    <t>Inside Track to Critical Thinking and Analysis</t>
  </si>
  <si>
    <t>Deane, Mary;Borg, Erik;Borg, Erik</t>
  </si>
  <si>
    <t>Psychology; Philosophy</t>
  </si>
  <si>
    <t>BF441</t>
  </si>
  <si>
    <t>Critical thinking</t>
  </si>
  <si>
    <t>https://ebookcentral.proquest.com/lib/seucn/detail.action?docID=5137643</t>
  </si>
  <si>
    <t>Business Ethics: Pearson New International Edition</t>
  </si>
  <si>
    <t>DeGeorge, Richard T</t>
  </si>
  <si>
    <t>https://ebookcentral.proquest.com/lib/seucn/detail.action?docID=5137644</t>
  </si>
  <si>
    <t>Probability and Statistics: Pearson New International Edition</t>
  </si>
  <si>
    <t>DeGroot, Morris H.;Schervish, Mark J.;Schervish, Mark J.</t>
  </si>
  <si>
    <t>https://ebookcentral.proquest.com/lib/seucn/detail.action?docID=5137645</t>
  </si>
  <si>
    <t>Negotiation and Dispute Resolution: Pearson New International Edition</t>
  </si>
  <si>
    <t>DeMarr, Beverly;De Janasz, Suzanne;DeMarr, Beverly</t>
  </si>
  <si>
    <t>https://ebookcentral.proquest.com/lib/seucn/detail.action?docID=5137654</t>
  </si>
  <si>
    <t>Brilliant Graduate Career Handbook</t>
  </si>
  <si>
    <t>Done, Judith;Mulvey, Rachel;Mulvey, Rachel</t>
  </si>
  <si>
    <t>HF5382.5.U5</t>
  </si>
  <si>
    <t>https://ebookcentral.proquest.com/lib/seucn/detail.action?docID=5137670</t>
  </si>
  <si>
    <t>https://ebookcentral.proquest.com/lib/seucn/detail.action?docID=5137671</t>
  </si>
  <si>
    <t>Mechanical Behavior of Materials : International Edition</t>
  </si>
  <si>
    <t>Dowling, Norman E.</t>
  </si>
  <si>
    <t>https://ebookcentral.proquest.com/lib/seucn/detail.action?docID=5137675</t>
  </si>
  <si>
    <t>Psychology of Learning for Instruction: Pearson New International Edition</t>
  </si>
  <si>
    <t>Driscoll, Marcy P.</t>
  </si>
  <si>
    <t>https://ebookcentral.proquest.com/lib/seucn/detail.action?docID=5137678</t>
  </si>
  <si>
    <t>Agricultural Economics: Pearson New International Edition</t>
  </si>
  <si>
    <t>Drummond, H. Evan;Goodwin, John W.;Goodwin, John W.</t>
  </si>
  <si>
    <t>https://ebookcentral.proquest.com/lib/seucn/detail.action?docID=5137679</t>
  </si>
  <si>
    <t>Dugopolski, Mark</t>
  </si>
  <si>
    <t>https://ebookcentral.proquest.com/lib/seucn/detail.action?docID=5137688</t>
  </si>
  <si>
    <t>https://ebookcentral.proquest.com/lib/seucn/detail.action?docID=5137689</t>
  </si>
  <si>
    <t>Trigonometry: Pearson New International Edition</t>
  </si>
  <si>
    <t>https://ebookcentral.proquest.com/lib/seucn/detail.action?docID=5137690</t>
  </si>
  <si>
    <t>Short Guide to Writing About Psychology: Pearson New International Edition</t>
  </si>
  <si>
    <t>Dunn, Dana S.</t>
  </si>
  <si>
    <t>https://ebookcentral.proquest.com/lib/seucn/detail.action?docID=5137693</t>
  </si>
  <si>
    <t>Understanding Public Policy: Pearson New International Edition</t>
  </si>
  <si>
    <t>Dye, Thomas R.</t>
  </si>
  <si>
    <t>https://ebookcentral.proquest.com/lib/seucn/detail.action?docID=5137694</t>
  </si>
  <si>
    <t>Social Marketing</t>
  </si>
  <si>
    <t>Eagle, Lynne;Dahl, Stephan;Hill, Susie;Dahl, Stephan;Hill, Susie;Bird, Sara;Spotswood, Fiona;Tapp, Alan</t>
  </si>
  <si>
    <t>HF5414</t>
  </si>
  <si>
    <t>https://ebookcentral.proquest.com/lib/seucn/detail.action?docID=5137697</t>
  </si>
  <si>
    <t>Elementary Differential Equations with Boundary Value Problems: Pearson New International Edition</t>
  </si>
  <si>
    <t>Edwards, C. Henry;Penney, David E.;Penney, David E.</t>
  </si>
  <si>
    <t>https://ebookcentral.proquest.com/lib/seucn/detail.action?docID=5137699</t>
  </si>
  <si>
    <t>Differential Equations and Linear Algebra: Pearson New International Edition</t>
  </si>
  <si>
    <t>https://ebookcentral.proquest.com/lib/seucn/detail.action?docID=5137700</t>
  </si>
  <si>
    <t>Calculus, Early Transcendentals: Pearson New International Edition</t>
  </si>
  <si>
    <t>Edwards, Henry C.;Penney, David E.;Penney, David E.</t>
  </si>
  <si>
    <t>https://ebookcentral.proquest.com/lib/seucn/detail.action?docID=5137701</t>
  </si>
  <si>
    <t>Creative Arts: Pearson New International Edition</t>
  </si>
  <si>
    <t>Edwards, Linda</t>
  </si>
  <si>
    <t>https://ebookcentral.proquest.com/lib/seucn/detail.action?docID=5137702</t>
  </si>
  <si>
    <t>Brilliant Body Language : Impress, Persuade and Succeed with the Power of Body Language</t>
  </si>
  <si>
    <t>Eggert, Max</t>
  </si>
  <si>
    <t>https://ebookcentral.proquest.com/lib/seucn/detail.action?docID=5137707</t>
  </si>
  <si>
    <t>Neuropsychology: Pearson New International Edition</t>
  </si>
  <si>
    <t>Elias, Lorin;Saucier, Deborah;Saucier, Deborah</t>
  </si>
  <si>
    <t>https://ebookcentral.proquest.com/lib/seucn/detail.action?docID=5137710</t>
  </si>
  <si>
    <t>Learning Microsoft Office 2013: Pearson New International Edition</t>
  </si>
  <si>
    <t>Emergent Learning LLC;Weixel, Suzanne;Wempen, Faithe;Weixel, Suzanne;Wempen, Faithe;Skintik, Catherine</t>
  </si>
  <si>
    <t>https://ebookcentral.proquest.com/lib/seucn/detail.action?docID=5137722</t>
  </si>
  <si>
    <t>Fluid Power with Applications: Pearson New International Edition</t>
  </si>
  <si>
    <t>Esposito, Anthony</t>
  </si>
  <si>
    <t>Engineering; Engineering: General</t>
  </si>
  <si>
    <t>https://ebookcentral.proquest.com/lib/seucn/detail.action?docID=5137729</t>
  </si>
  <si>
    <t>Brilliant Job Hunting : Your complete guide to getting the job you want</t>
  </si>
  <si>
    <t>Fagan, Angela</t>
  </si>
  <si>
    <t>https://ebookcentral.proquest.com/lib/seucn/detail.action?docID=5137741</t>
  </si>
  <si>
    <t>Law of the European Union (Foundations series)</t>
  </si>
  <si>
    <t>Fairhurst, John</t>
  </si>
  <si>
    <t>https://ebookcentral.proquest.com/lib/seucn/detail.action?docID=5137742</t>
  </si>
  <si>
    <t>Out of Many: Pearson New International Edition</t>
  </si>
  <si>
    <t>Faragher, John Mack;Buhle, Mari Jo H.;Czitrom, Daniel H.;Buhle, Mari Jo;Czitrom, Daniel J.;Armitage, Susan H.</t>
  </si>
  <si>
    <t>https://ebookcentral.proquest.com/lib/seucn/detail.action?docID=5137744</t>
  </si>
  <si>
    <t>https://ebookcentral.proquest.com/lib/seucn/detail.action?docID=5137745</t>
  </si>
  <si>
    <t>Supply Chain Management: Pearson New International Edition</t>
  </si>
  <si>
    <t>Fawcett, Stanley E.;Ellram, Lisa M.;Ogden, Jeffrey A.;Ellram, Lisa M.;Ogden, Jeffrey A.</t>
  </si>
  <si>
    <t>https://ebookcentral.proquest.com/lib/seucn/detail.action?docID=5137749</t>
  </si>
  <si>
    <t>Reason and Argument: Pearson New International Edition</t>
  </si>
  <si>
    <t>Feldman, Richard</t>
  </si>
  <si>
    <t>https://ebookcentral.proquest.com/lib/seucn/detail.action?docID=5137750</t>
  </si>
  <si>
    <t>Development Across the Life Span: Pearson New International Edition</t>
  </si>
  <si>
    <t>https://ebookcentral.proquest.com/lib/seucn/detail.action?docID=5137751</t>
  </si>
  <si>
    <t>Applied Hydrogeology: Pearson New International Edition</t>
  </si>
  <si>
    <t>Fetter, C.W.</t>
  </si>
  <si>
    <t>Science; Science: Geology</t>
  </si>
  <si>
    <t>https://ebookcentral.proquest.com/lib/seucn/detail.action?docID=5137758</t>
  </si>
  <si>
    <t>Researching and Writing a Dissertation : a guidebook for business students</t>
  </si>
  <si>
    <t>Fisher, Colin</t>
  </si>
  <si>
    <t>Education; Literature</t>
  </si>
  <si>
    <t>Business - Research</t>
  </si>
  <si>
    <t>https://ebookcentral.proquest.com/lib/seucn/detail.action?docID=5137774</t>
  </si>
  <si>
    <t>Principles of Electric Circuits: Pearson New International Edition</t>
  </si>
  <si>
    <t>Engineering; Engineering: Electrical</t>
  </si>
  <si>
    <t>https://ebookcentral.proquest.com/lib/seucn/detail.action?docID=5137779</t>
  </si>
  <si>
    <t>https://ebookcentral.proquest.com/lib/seucn/detail.action?docID=5137780</t>
  </si>
  <si>
    <t>Electronic Devices (Conventional Current Version): Pearson New International Edition</t>
  </si>
  <si>
    <t>Floyd, Thomas L.</t>
  </si>
  <si>
    <t>https://ebookcentral.proquest.com/lib/seucn/detail.action?docID=5137781</t>
  </si>
  <si>
    <t>Electronic Devices (Electron Flow Version): Pearson New International Edition</t>
  </si>
  <si>
    <t>https://ebookcentral.proquest.com/lib/seucn/detail.action?docID=5137782</t>
  </si>
  <si>
    <t>Electronics Fundamentals: Pearson New International Edition</t>
  </si>
  <si>
    <t>Floyd, Thomas L;Buchla, David;Buchla, David M.</t>
  </si>
  <si>
    <t>https://ebookcentral.proquest.com/lib/seucn/detail.action?docID=5137783</t>
  </si>
  <si>
    <t>Psychology Express: Research Methods in Psychology (Undergraduate Revision Guide)</t>
  </si>
  <si>
    <t>Psychology Express</t>
  </si>
  <si>
    <t>Forshaw, Mark;Upton, Dominic;Jones, Steve;Forshaw, Mark;Upton, Dominic</t>
  </si>
  <si>
    <t>Psychology - Research - Methodology</t>
  </si>
  <si>
    <t>https://ebookcentral.proquest.com/lib/seucn/detail.action?docID=5137785</t>
  </si>
  <si>
    <t>Policy Studies for Educational Leaders: Pearson New International Edition</t>
  </si>
  <si>
    <t>Fowler, Frances C.</t>
  </si>
  <si>
    <t>https://ebookcentral.proquest.com/lib/seucn/detail.action?docID=5137791</t>
  </si>
  <si>
    <t>How to Keep Calm and Carry On : Stop worrying and start enjoying your life</t>
  </si>
  <si>
    <t>Freeman, Daniel;Freeman, Jason</t>
  </si>
  <si>
    <t>https://ebookcentral.proquest.com/lib/seucn/detail.action?docID=5137797</t>
  </si>
  <si>
    <t>Planning and Administering Early Childhood Programs: Pearson New International Edition</t>
  </si>
  <si>
    <t>Freeman, Nancy K.;Decker, Celia A.;Decker, John R.;Decker, Celia A.;Decker, John R.</t>
  </si>
  <si>
    <t>https://ebookcentral.proquest.com/lib/seucn/detail.action?docID=5137798</t>
  </si>
  <si>
    <t>Governmental and Nonprofit Accounting: Pearson New International Edition</t>
  </si>
  <si>
    <t>Freeman, Robert J.;Shoulders, Craig D.;Allison, Gregory S.;Shoulders, Craig D.;Allison, Gregory S.;Smith, G. Robert</t>
  </si>
  <si>
    <t>https://ebookcentral.proquest.com/lib/seucn/detail.action?docID=5137799</t>
  </si>
  <si>
    <t>Biological Science: Pearson New International Edition</t>
  </si>
  <si>
    <t>Freeman, Scott;Quillin, Kim;Allison, Lizabeth;Quillin, Kim;Allison, Lizabeth</t>
  </si>
  <si>
    <t>https://ebookcentral.proquest.com/lib/seucn/detail.action?docID=5137801</t>
  </si>
  <si>
    <t>Modern Elementary Statistics: Pearson New International Edition</t>
  </si>
  <si>
    <t>Freund, John E.;Perles, Benjamin M.;Perles, Benjamin M.</t>
  </si>
  <si>
    <t>https://ebookcentral.proquest.com/lib/seucn/detail.action?docID=5137805</t>
  </si>
  <si>
    <t>Linear Algebra: Pearson New International Edition</t>
  </si>
  <si>
    <t>Friedberg, Stephen H;Insel, Arnold J;Spence, Lawrence E.;Insel, Arnold J.;Spence, Lawrence E.</t>
  </si>
  <si>
    <t>https://ebookcentral.proquest.com/lib/seucn/detail.action?docID=5137806</t>
  </si>
  <si>
    <t>Feature Writing: Pearson New International Edition</t>
  </si>
  <si>
    <t>Friedlander, Edward Jay;Lee, John;Lee, John</t>
  </si>
  <si>
    <t>Journalism</t>
  </si>
  <si>
    <t>https://ebookcentral.proquest.com/lib/seucn/detail.action?docID=5137807</t>
  </si>
  <si>
    <t>Personality: Pearson New International Edition</t>
  </si>
  <si>
    <t>Friedman, Howard S.;Schustack, Miriam W.;Schustack, Miriam W.</t>
  </si>
  <si>
    <t>https://ebookcentral.proquest.com/lib/seucn/detail.action?docID=5137808</t>
  </si>
  <si>
    <t>Interactions: Pearson New International Edition</t>
  </si>
  <si>
    <t>Friend, Marilyn;Cook, Lynne;Cook, Lynne</t>
  </si>
  <si>
    <t>https://ebookcentral.proquest.com/lib/seucn/detail.action?docID=5137810</t>
  </si>
  <si>
    <t>Medical Terminology: Pearson New International Edition</t>
  </si>
  <si>
    <t>Frucht, Suzanne S.</t>
  </si>
  <si>
    <t>https://ebookcentral.proquest.com/lib/seucn/detail.action?docID=5137813</t>
  </si>
  <si>
    <t>Brilliant Excel VBA Programming</t>
  </si>
  <si>
    <t>Frye, Curtis;Frye, Curtis</t>
  </si>
  <si>
    <t>Business/Management; Computer Science/IT</t>
  </si>
  <si>
    <t>HF5548.4.M523</t>
  </si>
  <si>
    <t>Electronic spreadsheets</t>
  </si>
  <si>
    <t>https://ebookcentral.proquest.com/lib/seucn/detail.action?docID=5137814</t>
  </si>
  <si>
    <t>Commercial Law</t>
  </si>
  <si>
    <t>Furmston, Michael;Chuah, Jason;Chuah, Jason</t>
  </si>
  <si>
    <t>KD1629</t>
  </si>
  <si>
    <t>Dispute resolution (Law) - Great Britain</t>
  </si>
  <si>
    <t>https://ebookcentral.proquest.com/lib/seucn/detail.action?docID=5137818</t>
  </si>
  <si>
    <t>Starting Out with Programming Logic and Design: Pearson New International Edition</t>
  </si>
  <si>
    <t>https://ebookcentral.proquest.com/lib/seucn/detail.action?docID=5137822</t>
  </si>
  <si>
    <t>Applying Educational Research: Pearson New International Edition</t>
  </si>
  <si>
    <t>Gall, Joyce P.;Gall, M. D.;Borg, Walter R.;Gall, Meredith (Mark) D.;Borg, Walter R.</t>
  </si>
  <si>
    <t>https://ebookcentral.proquest.com/lib/seucn/detail.action?docID=5137830</t>
  </si>
  <si>
    <t>Facilities Planning and Design: Pearson New International Edition</t>
  </si>
  <si>
    <t>Garcia-Diaz, Alberto;Smith, J. MacGregor;Smith, J. MacGregor</t>
  </si>
  <si>
    <t>https://ebookcentral.proquest.com/lib/seucn/detail.action?docID=5137832</t>
  </si>
  <si>
    <t>Database Systems: Pearson New International Edition</t>
  </si>
  <si>
    <t>Garcia-Molina, Hector;Ullman, Jeffrey D;Widom, Jennifer;Ullman, Jeffrey D.;Widom, Jennifer</t>
  </si>
  <si>
    <t>https://ebookcentral.proquest.com/lib/seucn/detail.action?docID=5137833</t>
  </si>
  <si>
    <t>Lives Across Cultures: Pearson New International Edition</t>
  </si>
  <si>
    <t>Gardiner, Harry W.;Kosmitzki, Corinne;Kosmitzki, Corinne</t>
  </si>
  <si>
    <t>https://ebookcentral.proquest.com/lib/seucn/detail.action?docID=5137834</t>
  </si>
  <si>
    <t>Economics Express: Macroeconomics</t>
  </si>
  <si>
    <t>Garratt, Dean</t>
  </si>
  <si>
    <t>HB172.5</t>
  </si>
  <si>
    <t>Macroeconomics</t>
  </si>
  <si>
    <t>https://ebookcentral.proquest.com/lib/seucn/detail.action?docID=5137835</t>
  </si>
  <si>
    <t>GO! with Microsoft Access 2010 Introductory: Pearson New International Edition</t>
  </si>
  <si>
    <t>Gaskin, Shelley;McLellan, Carolyn;Graviett, Nancy;McLellan, Carolyn;Graviett, Nancy</t>
  </si>
  <si>
    <t>https://ebookcentral.proquest.com/lib/seucn/detail.action?docID=5137838</t>
  </si>
  <si>
    <t>From Brainwave to Business : How to Turn Your Brilliant Idea into a Successful Start-Up</t>
  </si>
  <si>
    <t>Financial Times</t>
  </si>
  <si>
    <t>Gates, Celia</t>
  </si>
  <si>
    <t>New products</t>
  </si>
  <si>
    <t>https://ebookcentral.proquest.com/lib/seucn/detail.action?docID=5137840</t>
  </si>
  <si>
    <t>International Economics: Pearson New International Edition</t>
  </si>
  <si>
    <t>Gerber, James</t>
  </si>
  <si>
    <t>https://ebookcentral.proquest.com/lib/seucn/detail.action?docID=5137844</t>
  </si>
  <si>
    <t>Psychology and Life</t>
  </si>
  <si>
    <t>Gerrig, Richard J.;Zimbardo, Philip;Svartdal, Frode;Zimbardo, Philip;Svartdal, Frode;Brennan, Tim;Donaldson, Roger;Archer, Trevor</t>
  </si>
  <si>
    <t>BF121</t>
  </si>
  <si>
    <t>https://ebookcentral.proquest.com/lib/seucn/detail.action?docID=5137846</t>
  </si>
  <si>
    <t>Technical Communication: Pearson New International Edition</t>
  </si>
  <si>
    <t>Gerson, Sharon;Gerson, Steven;Gerson, Steven M.</t>
  </si>
  <si>
    <t>https://ebookcentral.proquest.com/lib/seucn/detail.action?docID=5137847</t>
  </si>
  <si>
    <t>Fundamentals of Probability, with Stochastic Processes: Pearson New International Edition</t>
  </si>
  <si>
    <t>Ghahramani, Saeed</t>
  </si>
  <si>
    <t>https://ebookcentral.proquest.com/lib/seucn/detail.action?docID=5137849</t>
  </si>
  <si>
    <t>Elementary Surveying : International Edition</t>
  </si>
  <si>
    <t>Ghilani, Charles D.;Wolf, Paul R</t>
  </si>
  <si>
    <t>https://ebookcentral.proquest.com/lib/seucn/detail.action?docID=5137851</t>
  </si>
  <si>
    <t>Physics for Scientists &amp; Engineers with Modern Physics: Pearson New International Edition</t>
  </si>
  <si>
    <t>Giancoli, Doug</t>
  </si>
  <si>
    <t>Science; Science: Physics</t>
  </si>
  <si>
    <t>https://ebookcentral.proquest.com/lib/seucn/detail.action?docID=5137852</t>
  </si>
  <si>
    <t>Physics: Pearson New International Edition</t>
  </si>
  <si>
    <t>https://ebookcentral.proquest.com/lib/seucn/detail.action?docID=5137853</t>
  </si>
  <si>
    <t>Physics for Scientists &amp; Engineers (Chs 1-37): Pearson New International Edition</t>
  </si>
  <si>
    <t>Giancoli, Douglas C.</t>
  </si>
  <si>
    <t>Science: Physics; Science</t>
  </si>
  <si>
    <t>https://ebookcentral.proquest.com/lib/seucn/detail.action?docID=5137854</t>
  </si>
  <si>
    <t>Physics for Scientists &amp; Engineers Vol. 2 (Chs 21-35): Pearson New International Edition</t>
  </si>
  <si>
    <t>https://ebookcentral.proquest.com/lib/seucn/detail.action?docID=5137856</t>
  </si>
  <si>
    <t>Physics for Scientists &amp; Engineers with Modern Physics, Vol. 3 (Chs 36-44): Pearson New International Edition</t>
  </si>
  <si>
    <t>https://ebookcentral.proquest.com/lib/seucn/detail.action?docID=5137857</t>
  </si>
  <si>
    <t>Technical Drawing with Engineering Graphics: Pearson New International Edition</t>
  </si>
  <si>
    <t>Giesecke, Frederick E.;Hill, Ivan Leroy;Spencer, Henry C.;Hill, Ivan Leroy;Mitchell, Alva E.;Spencer, Henry C.;Dygdon, John Thomas;Lockhart, Shawna;Novak, James E.;Goodman, Marla</t>
  </si>
  <si>
    <t>https://ebookcentral.proquest.com/lib/seucn/detail.action?docID=5137858</t>
  </si>
  <si>
    <t>Engineering Graphics: Pearson New International Edition</t>
  </si>
  <si>
    <t>Giesecke, Frederick E.;Mitchell, Alva E.;Spencer, Henry C.;Giesecke, Frederick E.;Spencer, Henry C.;Hill, Ivan Leroy;Dygdon, John Thomas;Loving, Robert Olin;Novak, James E.</t>
  </si>
  <si>
    <t>https://ebookcentral.proquest.com/lib/seucn/detail.action?docID=5137859</t>
  </si>
  <si>
    <t>Asking Questions in Biology</t>
  </si>
  <si>
    <t>Gilbert, Francis;Mcgregor, Peter;Barnard, Chris;McGregor, Peter;Barnard, Chris</t>
  </si>
  <si>
    <t>QH315</t>
  </si>
  <si>
    <t>Biology - Methodology</t>
  </si>
  <si>
    <t>https://ebookcentral.proquest.com/lib/seucn/detail.action?docID=5137861</t>
  </si>
  <si>
    <t>Dimensions of Social Welfare Policy: Pearson New International Edition</t>
  </si>
  <si>
    <t>Gilbert, Neil;Terrell, Paul;Terrell, Paul</t>
  </si>
  <si>
    <t>https://ebookcentral.proquest.com/lib/seucn/detail.action?docID=5137862</t>
  </si>
  <si>
    <t>Inside Track to Successful Academic Writing</t>
  </si>
  <si>
    <t>Gillett, Andy;Hammond, Angela;Martala, Mary;Hammond, Angela;Martala, Mary</t>
  </si>
  <si>
    <t>https://ebookcentral.proquest.com/lib/seucn/detail.action?docID=5137863</t>
  </si>
  <si>
    <t>International Relations, Brief Edition, 2012-2013 Update: Pearson New International Edition</t>
  </si>
  <si>
    <t>Goldstein, Joshua S.;Pevehouse, Jon C.;Pevehouse, Jon C.</t>
  </si>
  <si>
    <t>https://ebookcentral.proquest.com/lib/seucn/detail.action?docID=5137876</t>
  </si>
  <si>
    <t>International Relations, 2012-2013 Update: Pearson New International Edition</t>
  </si>
  <si>
    <t>Goldstein, Joshua;Pevehouse, Jon C.;Pevehouse, Jon C.</t>
  </si>
  <si>
    <t>https://ebookcentral.proquest.com/lib/seucn/detail.action?docID=5137877</t>
  </si>
  <si>
    <t>Child, Family, and Community: Pearson New International Edition</t>
  </si>
  <si>
    <t>Gonzalez-Mena, Janet</t>
  </si>
  <si>
    <t>Home Economics</t>
  </si>
  <si>
    <t>https://ebookcentral.proquest.com/lib/seucn/detail.action?docID=5137881</t>
  </si>
  <si>
    <t>Goode, Stephen W.;Annin, Scott A.;Annin, Scott A.</t>
  </si>
  <si>
    <t>https://ebookcentral.proquest.com/lib/seucn/detail.action?docID=5137882</t>
  </si>
  <si>
    <t>EU and UK Competition Law</t>
  </si>
  <si>
    <t>Graham, Cosmo</t>
  </si>
  <si>
    <t>KJE6456</t>
  </si>
  <si>
    <t>Antitrust law - European Union countries</t>
  </si>
  <si>
    <t>https://ebookcentral.proquest.com/lib/seucn/detail.action?docID=5137888</t>
  </si>
  <si>
    <t>Plant Biology: Pearson New International Edition</t>
  </si>
  <si>
    <t>Graham, Linda E.;Graham, Jim M.;Wilcox, Lee W.;Graham, Linda E.;Wilcox, Lee W.</t>
  </si>
  <si>
    <t>Science: Botany; Science</t>
  </si>
  <si>
    <t>https://ebookcentral.proquest.com/lib/seucn/detail.action?docID=5137889</t>
  </si>
  <si>
    <t>Brilliant Social Media : How to start, refine and improve your social business media strategy</t>
  </si>
  <si>
    <t>Gray, Adam</t>
  </si>
  <si>
    <t>https://ebookcentral.proquest.com/lib/seucn/detail.action?docID=5137896</t>
  </si>
  <si>
    <t>Research Methods: Pearson New International Edition</t>
  </si>
  <si>
    <t>Graziano, Anthony M.;Raulin, Michael L.;Raulin, Michael L.</t>
  </si>
  <si>
    <t>General Works/Reference</t>
  </si>
  <si>
    <t>https://ebookcentral.proquest.com/lib/seucn/detail.action?docID=5137898</t>
  </si>
  <si>
    <t>Jazz Styles: Pearson New International Edition</t>
  </si>
  <si>
    <t>Gridley, Mark C.</t>
  </si>
  <si>
    <t>https://ebookcentral.proquest.com/lib/seucn/detail.action?docID=5137906</t>
  </si>
  <si>
    <t>Applied Economics</t>
  </si>
  <si>
    <t>Griffiths, Alan;Wall, Stuart;Wall, Stuart</t>
  </si>
  <si>
    <t>HB171</t>
  </si>
  <si>
    <t>Great Britain - Economic conditions - 20th century</t>
  </si>
  <si>
    <t>https://ebookcentral.proquest.com/lib/seucn/detail.action?docID=5137910</t>
  </si>
  <si>
    <t>Introduction to Quantum Mechanics: Pearson New International Edition</t>
  </si>
  <si>
    <t>Griffiths, David J</t>
  </si>
  <si>
    <t>https://ebookcentral.proquest.com/lib/seucn/detail.action?docID=5137911</t>
  </si>
  <si>
    <t>Introduction to Electrodynamics: Pearson New International Edition</t>
  </si>
  <si>
    <t>Griffiths, David J.</t>
  </si>
  <si>
    <t>https://ebookcentral.proquest.com/lib/seucn/detail.action?docID=5137912</t>
  </si>
  <si>
    <t>Discrete and Combinatorial Mathematics: Pearson New International Edition</t>
  </si>
  <si>
    <t>Grimaldi, Ralph P.</t>
  </si>
  <si>
    <t>https://ebookcentral.proquest.com/lib/seucn/detail.action?docID=5137914</t>
  </si>
  <si>
    <t>Groebner, David F.;Shannon, Patrick W.;Fry, Phillip C;Shannon, Patrick W.;Fry, Phillip C.;Smith, Kent D.</t>
  </si>
  <si>
    <t>https://ebookcentral.proquest.com/lib/seucn/detail.action?docID=5137915</t>
  </si>
  <si>
    <t>Creating Literacy Instruction for All Students: Pearson New International Edition</t>
  </si>
  <si>
    <t>Gunning, Thomas G.</t>
  </si>
  <si>
    <t>Religion</t>
  </si>
  <si>
    <t>https://ebookcentral.proquest.com/lib/seucn/detail.action?docID=5137922</t>
  </si>
  <si>
    <t>Mathematics of Interest Rates and Finance: Pearson New International Edition</t>
  </si>
  <si>
    <t>Guthrie, Gary C.;Lemon, Larry D.;Lemon, Larry D.</t>
  </si>
  <si>
    <t>https://ebookcentral.proquest.com/lib/seucn/detail.action?docID=5137925</t>
  </si>
  <si>
    <t>Applied Partial Differential Equations with Fourier Series and Boundary Value Problems: Pearson New International Edition</t>
  </si>
  <si>
    <t>Haberman, Richard</t>
  </si>
  <si>
    <t>https://ebookcentral.proquest.com/lib/seucn/detail.action?docID=5137928</t>
  </si>
  <si>
    <t>Automotive Technology: Pearson New International Edition</t>
  </si>
  <si>
    <t>Halderman, James D.</t>
  </si>
  <si>
    <t>https://ebookcentral.proquest.com/lib/seucn/detail.action?docID=5137934</t>
  </si>
  <si>
    <t>Exceptional Learners: Pearson New International Edition</t>
  </si>
  <si>
    <t>Hallahan, Daniel P.;Kauffman, James M;Pullen, Paige C.;Kauffman, James M.;Pullen, Paige C.</t>
  </si>
  <si>
    <t>https://ebookcentral.proquest.com/lib/seucn/detail.action?docID=5137946</t>
  </si>
  <si>
    <t>Halson, R.</t>
  </si>
  <si>
    <t>https://ebookcentral.proquest.com/lib/seucn/detail.action?docID=5137947</t>
  </si>
  <si>
    <t>Water and Wastewater Technology: Pearson New International Edition</t>
  </si>
  <si>
    <t>Hammer, Sr., Mark J.;Hammer, Jr., Mark J.;Hammer, Mark J.</t>
  </si>
  <si>
    <t>Engineering; Engineering: Environmental</t>
  </si>
  <si>
    <t>https://ebookcentral.proquest.com/lib/seucn/detail.action?docID=5137951</t>
  </si>
  <si>
    <t>Person to Person: Pearson New International Edition</t>
  </si>
  <si>
    <t>Hanna, Sharon L.;Suggett, Rose;Radtke, Doug;Suggett, Rose;Radtke, Doug</t>
  </si>
  <si>
    <t>https://ebookcentral.proquest.com/lib/seucn/detail.action?docID=5137956</t>
  </si>
  <si>
    <t>Games, Ideas and Activities for Early Years Mathematics</t>
  </si>
  <si>
    <t>Hansen, Alice</t>
  </si>
  <si>
    <t>QA135.6.H3648 2012</t>
  </si>
  <si>
    <t>Mathematics - Study and teaching (Early childhood) - Activity programs</t>
  </si>
  <si>
    <t>https://ebookcentral.proquest.com/lib/seucn/detail.action?docID=5137958</t>
  </si>
  <si>
    <t>Effective Classroom Management: Pearson New International Edition</t>
  </si>
  <si>
    <t>Hardin, Carlette Jackson</t>
  </si>
  <si>
    <t>https://ebookcentral.proquest.com/lib/seucn/detail.action?docID=5137959</t>
  </si>
  <si>
    <t>Science Experiences for the  Early Childhood Years: Pearson New International Edition</t>
  </si>
  <si>
    <t>Harlan, Jean D.;Rivkin, Mary S.;Rivkin, Mary S.</t>
  </si>
  <si>
    <t>https://ebookcentral.proquest.com/lib/seucn/detail.action?docID=5137961</t>
  </si>
  <si>
    <t>Customer Service: Pearson New International Edition</t>
  </si>
  <si>
    <t>Harris, Elaine K.</t>
  </si>
  <si>
    <t>https://ebookcentral.proquest.com/lib/seucn/detail.action?docID=5137962</t>
  </si>
  <si>
    <t>Modern Physics: Pearson New International Edition</t>
  </si>
  <si>
    <t>Harris, Randy</t>
  </si>
  <si>
    <t>https://ebookcentral.proquest.com/lib/seucn/detail.action?docID=5137965</t>
  </si>
  <si>
    <t>Gravity: Pearson New International Edition</t>
  </si>
  <si>
    <t>Hartle, James B.</t>
  </si>
  <si>
    <t>https://ebookcentral.proquest.com/lib/seucn/detail.action?docID=5137970</t>
  </si>
  <si>
    <t>Hartmann &amp; Kester's Plant Propagation: Pearson New International Edition</t>
  </si>
  <si>
    <t>Hartmann, Hudson T.;Kester, Dale E.;Davies, Fred T.;Kester, Dale E.;Geneve, Robert;Davies, Fred T.</t>
  </si>
  <si>
    <t>https://ebookcentral.proquest.com/lib/seucn/detail.action?docID=5137971</t>
  </si>
  <si>
    <t>University Calculus, Early Transcendentals: Pearson New International Edition</t>
  </si>
  <si>
    <t>Hass, Joel R.;Weir, Maurice D.;Thomas, George B.;Weir, Maurice D.;Thomas, George B., Jr.</t>
  </si>
  <si>
    <t>https://ebookcentral.proquest.com/lib/seucn/detail.action?docID=5137972</t>
  </si>
  <si>
    <t>Computer Graphics with Open GL: Pearson New International Edition</t>
  </si>
  <si>
    <t>Hearn, Donald D.;Baker, Pauline;Carithers, Warren;Baker, Pauline;Carithers, Warren</t>
  </si>
  <si>
    <t>https://ebookcentral.proquest.com/lib/seucn/detail.action?docID=5137981</t>
  </si>
  <si>
    <t>Optics: Pearson New International Edition</t>
  </si>
  <si>
    <t>Hecht, Eugene</t>
  </si>
  <si>
    <t>https://ebookcentral.proquest.com/lib/seucn/detail.action?docID=5137983</t>
  </si>
  <si>
    <t>How to Have a Brilliant Life : Put a little bit more in. Get so much more out</t>
  </si>
  <si>
    <t>Heppell, Michael</t>
  </si>
  <si>
    <t>Self-help techniques</t>
  </si>
  <si>
    <t>https://ebookcentral.proquest.com/lib/seucn/detail.action?docID=5137993</t>
  </si>
  <si>
    <t>How to Argue : Powerfully, Persuasively, Positively</t>
  </si>
  <si>
    <t>Philosophy; Psychology</t>
  </si>
  <si>
    <t>BC177</t>
  </si>
  <si>
    <t>Persuasion (Psychology)</t>
  </si>
  <si>
    <t>https://ebookcentral.proquest.com/lib/seucn/detail.action?docID=5137996</t>
  </si>
  <si>
    <t>Law Express Question and Answer: Family Law</t>
  </si>
  <si>
    <t>KD750</t>
  </si>
  <si>
    <t>Domestic relations - England</t>
  </si>
  <si>
    <t>https://ebookcentral.proquest.com/lib/seucn/detail.action?docID=5137998</t>
  </si>
  <si>
    <t>Exceptional Children: Pearson New International Edition</t>
  </si>
  <si>
    <t>Heward, William L.</t>
  </si>
  <si>
    <t>https://ebookcentral.proquest.com/lib/seucn/detail.action?docID=5138006</t>
  </si>
  <si>
    <t>Conceptual Physics Fundamentals: Pearson New International Edition</t>
  </si>
  <si>
    <t>Hewitt, Paul G.</t>
  </si>
  <si>
    <t>https://ebookcentral.proquest.com/lib/seucn/detail.action?docID=5138007</t>
  </si>
  <si>
    <t>Conceptual Integrated Science: Pearson New International Edition</t>
  </si>
  <si>
    <t>Hewitt, Paul G;Lyons, Suzanne A;Suchocki, John A;Lyons, Suzanne A.;Suchocki, John A.;Yeh, Jennifer</t>
  </si>
  <si>
    <t>Science: General</t>
  </si>
  <si>
    <t>https://ebookcentral.proquest.com/lib/seucn/detail.action?docID=5138009</t>
  </si>
  <si>
    <t>Economic Way of Thinking: Pearson New International Edition</t>
  </si>
  <si>
    <t>Heyne, Paul L.;Boettke, Peter J.;Prychitko, David L.;Boettke, Peter J.;Prychitko, David L.</t>
  </si>
  <si>
    <t>https://ebookcentral.proquest.com/lib/seucn/detail.action?docID=5138010</t>
  </si>
  <si>
    <t>Introduction to Geographical Information Systems</t>
  </si>
  <si>
    <t>Heywood, Ian;Cornelius, Sarah;Carver, Steve;Cornelius, Sarah;Carver, Steve</t>
  </si>
  <si>
    <t>Geography/Travel</t>
  </si>
  <si>
    <t>G70.212.H49 2011</t>
  </si>
  <si>
    <t>Geographic information systems</t>
  </si>
  <si>
    <t>https://ebookcentral.proquest.com/lib/seucn/detail.action?docID=5138011</t>
  </si>
  <si>
    <t>Hobson, Art</t>
  </si>
  <si>
    <t>https://ebookcentral.proquest.com/lib/seucn/detail.action?docID=5138016</t>
  </si>
  <si>
    <t>Human Rights in the UK : An Introduction to the Human Rights Act 1998</t>
  </si>
  <si>
    <t>Hoffman, David;Rowe Q.C., John;Rowe, John, QC</t>
  </si>
  <si>
    <t>KD4080.H64 2013</t>
  </si>
  <si>
    <t>Civil rights - Great Britain</t>
  </si>
  <si>
    <t>https://ebookcentral.proquest.com/lib/seucn/detail.action?docID=5138023</t>
  </si>
  <si>
    <t>Introduction to Mathematical Statistics: Pearson New International Edition</t>
  </si>
  <si>
    <t>Hogg, Robert V.;McKean, Joeseph;Craig, Allen T;McKean, Joseph W.;Craig, Allen T.</t>
  </si>
  <si>
    <t>https://ebookcentral.proquest.com/lib/seucn/detail.action?docID=5138024</t>
  </si>
  <si>
    <t>Technical Writing Basics: Pearson New International Edition</t>
  </si>
  <si>
    <t>Holloway, Brian R.</t>
  </si>
  <si>
    <t>https://ebookcentral.proquest.com/lib/seucn/detail.action?docID=5138034</t>
  </si>
  <si>
    <t>Interpreting Company Reports</t>
  </si>
  <si>
    <t>Holmes, Geoffrey;Sugden, Alan;Gee, Paul;Sugden, Alan;Gee, Paul</t>
  </si>
  <si>
    <t>HF5681.B2H63 2008</t>
  </si>
  <si>
    <t>Corporation reports</t>
  </si>
  <si>
    <t>https://ebookcentral.proquest.com/lib/seucn/detail.action?docID=5138037</t>
  </si>
  <si>
    <t>Social Gerontology: Pearson New International Edition</t>
  </si>
  <si>
    <t>Hooyman, Nancy;Kiyak, H. Asuman S.;Kiyak, H. Asuman</t>
  </si>
  <si>
    <t>https://ebookcentral.proquest.com/lib/seucn/detail.action?docID=5138041</t>
  </si>
  <si>
    <t>Introduction to Financial Accounting:Pearson New International Edition</t>
  </si>
  <si>
    <t>Horngren, Charles T.;Sundem, Gary L.;Elliott, John A.;Sundem, Gary L.;Elliott, John A.;Philbrick, Donna</t>
  </si>
  <si>
    <t>https://ebookcentral.proquest.com/lib/seucn/detail.action?docID=5138043</t>
  </si>
  <si>
    <t>Graphical Approach to Precalculus with Limits: Pearson New International Edition</t>
  </si>
  <si>
    <t>Hornsby, John;Lial, Margaret;Rockswold, Gary K;Lial, Margaret L.;Rockswold, Gary K.</t>
  </si>
  <si>
    <t>https://ebookcentral.proquest.com/lib/seucn/detail.action?docID=5138046</t>
  </si>
  <si>
    <t>Chemistry</t>
  </si>
  <si>
    <t>Housecroft, Catherine;Constable, Edwin;Constable, Edwin</t>
  </si>
  <si>
    <t>https://ebookcentral.proquest.com/lib/seucn/detail.action?docID=5138047</t>
  </si>
  <si>
    <t>Meaningful Learning with Technology: Pearson New International Edition</t>
  </si>
  <si>
    <t>Howland, Jane L.;Jonassen, David H.;Marra, Rose M.;Jonassen, David H.;Marra, Rose M.</t>
  </si>
  <si>
    <t>https://ebookcentral.proquest.com/lib/seucn/detail.action?docID=5138058</t>
  </si>
  <si>
    <t>Learning American Sign Language: Pearson New International Edition</t>
  </si>
  <si>
    <t>Humphries, Tom L.;Padden, Carol A.;Hills, Robert</t>
  </si>
  <si>
    <t>https://ebookcentral.proquest.com/lib/seucn/detail.action?docID=5138078</t>
  </si>
  <si>
    <t>Brief Atlas of the Human Body, A (ValuePack Only): Pearson New International Edition</t>
  </si>
  <si>
    <t>Hutchinson, Matt;Mallatt, Jon B.;Marieb, Elaine N.;Mallatt, Jon;Marieb, Elaine N.;Wilhelm, Patricia Brady</t>
  </si>
  <si>
    <t>https://ebookcentral.proquest.com/lib/seucn/detail.action?docID=5138081</t>
  </si>
  <si>
    <t>International Trauma Life Support for Emergency Care Providers: Pearson New International Edition</t>
  </si>
  <si>
    <t>International Trauma Life Support (ITLS), . .;Campbell, John;Campbell, John</t>
  </si>
  <si>
    <t>https://ebookcentral.proquest.com/lib/seucn/detail.action?docID=5138087</t>
  </si>
  <si>
    <t>Percorsi: Pearson New International Edition</t>
  </si>
  <si>
    <t>Italiano, Francesca;Marchegiani, Irene;Marchegiani, Irene</t>
  </si>
  <si>
    <t>https://ebookcentral.proquest.com/lib/seucn/detail.action?docID=5138092</t>
  </si>
  <si>
    <t>Forensic Science</t>
  </si>
  <si>
    <t>Jackson, Andrew R.W.;Jackson, Julie M.</t>
  </si>
  <si>
    <t>https://ebookcentral.proquest.com/lib/seucn/detail.action?docID=5138093</t>
  </si>
  <si>
    <t>Remote Sensing of the Environment: Pearson New International Edition</t>
  </si>
  <si>
    <t>Jensen, John R</t>
  </si>
  <si>
    <t>https://ebookcentral.proquest.com/lib/seucn/detail.action?docID=5138106</t>
  </si>
  <si>
    <t>Process Control Instrumentation Technology: Pearson New International Edition</t>
  </si>
  <si>
    <t>Johnson, Curtis D.</t>
  </si>
  <si>
    <t>https://ebookcentral.proquest.com/lib/seucn/detail.action?docID=5138110</t>
  </si>
  <si>
    <t>Joining Together: Pearson New International Edition</t>
  </si>
  <si>
    <t>Johnson, David W.;Johnson, Frank P.;Johnson, Frank P.</t>
  </si>
  <si>
    <t>https://ebookcentral.proquest.com/lib/seucn/detail.action?docID=5138111</t>
  </si>
  <si>
    <t>Human Biology: Pearson New International Edition</t>
  </si>
  <si>
    <t>Johnson, Michael D</t>
  </si>
  <si>
    <t>https://ebookcentral.proquest.com/lib/seucn/detail.action?docID=5138116</t>
  </si>
  <si>
    <t>Miller &amp; Freund's Probability and Statistics for Engineers: Pearson New International Edition</t>
  </si>
  <si>
    <t>Johnson, Richard A.;Miller, Irwin;Freund, John;Miller, Irwin;Freund, John E.</t>
  </si>
  <si>
    <t>https://ebookcentral.proquest.com/lib/seucn/detail.action?docID=5138118</t>
  </si>
  <si>
    <t>Applied Multivariate Statistical Analysis: Pearson New International Edition</t>
  </si>
  <si>
    <t>Johnson, Richard A.;Wichern, Dean W.;Wichern, Dean W.</t>
  </si>
  <si>
    <t>https://ebookcentral.proquest.com/lib/seucn/detail.action?docID=5138119</t>
  </si>
  <si>
    <t>Laboratory Experiments in Microbiology: Pearson New International Edition</t>
  </si>
  <si>
    <t>Johnson, Ted R.;Case, Christine L.;Case, Christine L.</t>
  </si>
  <si>
    <t>https://ebookcentral.proquest.com/lib/seucn/detail.action?docID=5138120</t>
  </si>
  <si>
    <t>Philosophical Documents in Education: Pearson New International Edition</t>
  </si>
  <si>
    <t>Johnson, Tony W.;Reed, Ronald F.;Reed, Ronald F.</t>
  </si>
  <si>
    <t>https://ebookcentral.proquest.com/lib/seucn/detail.action?docID=5138121</t>
  </si>
  <si>
    <t>Discrete Mathematics: Pearson New International Edition</t>
  </si>
  <si>
    <t>Johnsonbaugh, Richard</t>
  </si>
  <si>
    <t>https://ebookcentral.proquest.com/lib/seucn/detail.action?docID=5138122</t>
  </si>
  <si>
    <t>Technical Communication Today: Pearson New International Edition</t>
  </si>
  <si>
    <t>Johnson-Sheehan, Richard</t>
  </si>
  <si>
    <t>https://ebookcentral.proquest.com/lib/seucn/detail.action?docID=5138123</t>
  </si>
  <si>
    <t>Raising Children: The Primary Years</t>
  </si>
  <si>
    <t>Joshi, Liat Hughes</t>
  </si>
  <si>
    <t>https://ebookcentral.proquest.com/lib/seucn/detail.action?docID=5138135</t>
  </si>
  <si>
    <t>Ponto de Encontro: Pearson New International Edition</t>
  </si>
  <si>
    <t>Jouet-Pastre, Clemence;Klobucka, Anna;Sobral, Patr’cia Isabel;Klobucka, Anna;Sobral, Patricia Isabel;Moreira, Maria Luci de Biaji;Hutchinson, Amelia P.</t>
  </si>
  <si>
    <t>https://ebookcentral.proquest.com/lib/seucn/detail.action?docID=5138136</t>
  </si>
  <si>
    <t>Textiles: Pearson New International Edition</t>
  </si>
  <si>
    <t>kadolph, Sara J.;Langford, Anna L.</t>
  </si>
  <si>
    <t>Engineering: Manufacturing; Engineering</t>
  </si>
  <si>
    <t>https://ebookcentral.proquest.com/lib/seucn/detail.action?docID=5138139</t>
  </si>
  <si>
    <t>Language and Reading Disabilities: Pearson New International Edition</t>
  </si>
  <si>
    <t>Kamhi, Alan G.;Catts, Hugh W.;Catts, Hugh W.</t>
  </si>
  <si>
    <t>https://ebookcentral.proquest.com/lib/seucn/detail.action?docID=5138143</t>
  </si>
  <si>
    <t>Accounting Information Systems: Pearson New International Edition</t>
  </si>
  <si>
    <t>Kay, Donna;Ovlia, Ali;Ovlia, Ali</t>
  </si>
  <si>
    <t>https://ebookcentral.proquest.com/lib/seucn/detail.action?docID=5138148</t>
  </si>
  <si>
    <t>Geology for Engineers and  Environmental Scientists:Pearson New International Edition</t>
  </si>
  <si>
    <t>Kehew, Alan E.</t>
  </si>
  <si>
    <t>https://ebookcentral.proquest.com/lib/seucn/detail.action?docID=5138152</t>
  </si>
  <si>
    <t>Multiple Regression and Beyond: Pearson New International Edition</t>
  </si>
  <si>
    <t>Keith, Timothy Z.</t>
  </si>
  <si>
    <t>https://ebookcentral.proquest.com/lib/seucn/detail.action?docID=5138153</t>
  </si>
  <si>
    <t>Resource Guide for Teaching K-12: Pearson New International Edition</t>
  </si>
  <si>
    <t>Kellough, Richard D.</t>
  </si>
  <si>
    <t>https://ebookcentral.proquest.com/lib/seucn/detail.action?docID=5138155</t>
  </si>
  <si>
    <t>Kenrick, Douglas;Neuberg, Steven L.;Cialdini, Robert B.;Neuberg, Steven L.;Cialdini, Professor Robert B.</t>
  </si>
  <si>
    <t>https://ebookcentral.proquest.com/lib/seucn/detail.action?docID=5138159</t>
  </si>
  <si>
    <t>Nonlinear Systems: Pearson New International Edition</t>
  </si>
  <si>
    <t>Khalil, Hassan K.</t>
  </si>
  <si>
    <t>https://ebookcentral.proquest.com/lib/seucn/detail.action?docID=5138167</t>
  </si>
  <si>
    <t>Algorithm Design: Pearson New International Edition</t>
  </si>
  <si>
    <t>Kleinberg, Jon;Tardos, Eva;Tardos, Eva</t>
  </si>
  <si>
    <t>https://ebookcentral.proquest.com/lib/seucn/detail.action?docID=5138180</t>
  </si>
  <si>
    <t>Digital Electronics: Pearson New International Edition</t>
  </si>
  <si>
    <t>Kleitz, William</t>
  </si>
  <si>
    <t>https://ebookcentral.proquest.com/lib/seucn/detail.action?docID=5138182</t>
  </si>
  <si>
    <t>Physics for Scientists and Engineers: Pearson New International Edition</t>
  </si>
  <si>
    <t>Knight, Randall D.</t>
  </si>
  <si>
    <t>https://ebookcentral.proquest.com/lib/seucn/detail.action?docID=5138186</t>
  </si>
  <si>
    <t>Student Workbook for Physics for Scientists and Engineers: Pearson New International Edition</t>
  </si>
  <si>
    <t>https://ebookcentral.proquest.com/lib/seucn/detail.action?docID=5138187</t>
  </si>
  <si>
    <t>Student Workbook for College Physics: Pearson New International Edition</t>
  </si>
  <si>
    <t>Knight, Randall D.;Jones, Brian;Field, Stuart;Jones, Brian;Field, Stuart;Andrews, James H.</t>
  </si>
  <si>
    <t>https://ebookcentral.proquest.com/lib/seucn/detail.action?docID=5138189</t>
  </si>
  <si>
    <t>https://ebookcentral.proquest.com/lib/seucn/detail.action?docID=5138190</t>
  </si>
  <si>
    <t>Discrete Mathematical Structures: Pearson New International Edition</t>
  </si>
  <si>
    <t>Kolman, Bernard;Busby, Robert;Ross, Sharon C.;Busby, Robert;Ross, Sharon Cutler</t>
  </si>
  <si>
    <t>https://ebookcentral.proquest.com/lib/seucn/detail.action?docID=5138197</t>
  </si>
  <si>
    <t>Elementary Linear Algebra with Applications: Pearson New International Edition</t>
  </si>
  <si>
    <t>Kolman, Bernard;Hill, David;Hill, David</t>
  </si>
  <si>
    <t>https://ebookcentral.proquest.com/lib/seucn/detail.action?docID=5138198</t>
  </si>
  <si>
    <t>Introducing Psychology: Pearson New International Edition</t>
  </si>
  <si>
    <t>Kosslyn, Stephen M.;Rosenberg, Robin S;Rosenberg, Robin S.</t>
  </si>
  <si>
    <t>https://ebookcentral.proquest.com/lib/seucn/detail.action?docID=5138199</t>
  </si>
  <si>
    <t>Developmentally Appropriate Curriculum: Pearson New International Edition</t>
  </si>
  <si>
    <t>Kostelnik, Marjorie J.;Soderman, Anne K.;Whiren, Alice P.;Soderman, Anne K.;Whiren, Alice P.</t>
  </si>
  <si>
    <t>https://ebookcentral.proquest.com/lib/seucn/detail.action?docID=5138200</t>
  </si>
  <si>
    <t>Marketing for Hospitality and Tourism: Pearson New International Edition</t>
  </si>
  <si>
    <t>Kotler, Philip;Bowen, John T.;Makens, James</t>
  </si>
  <si>
    <t>https://ebookcentral.proquest.com/lib/seucn/detail.action?docID=5138206</t>
  </si>
  <si>
    <t>Ecology: Pearson New International Edition</t>
  </si>
  <si>
    <t>Krebs, Charles J.</t>
  </si>
  <si>
    <t>https://ebookcentral.proquest.com/lib/seucn/detail.action?docID=5138211</t>
  </si>
  <si>
    <t>Computer Networking: A Top-Down Approach: International Edition</t>
  </si>
  <si>
    <t>Kurose, James F.;Ross, Keith W.</t>
  </si>
  <si>
    <t>https://ebookcentral.proquest.com/lib/seucn/detail.action?docID=5138229</t>
  </si>
  <si>
    <t>How to Use Statistics</t>
  </si>
  <si>
    <t>Lakin, Steve</t>
  </si>
  <si>
    <t>QA276</t>
  </si>
  <si>
    <t>Mathematical statistics</t>
  </si>
  <si>
    <t>https://ebookcentral.proquest.com/lib/seucn/detail.action?docID=5138233</t>
  </si>
  <si>
    <t>Introduction to Nuclear Engineering: Pearson New International Edition</t>
  </si>
  <si>
    <t>Lamarsh, John R.;Baratta, Anthony J.;Baratta, Anthony J.</t>
  </si>
  <si>
    <t>https://ebookcentral.proquest.com/lib/seucn/detail.action?docID=5138235</t>
  </si>
  <si>
    <t>Organic Structural Spectroscopy: Pearson New International Edition</t>
  </si>
  <si>
    <t>Lambert, Joseph B.;Gronert, Scott;Shurvell, Herbert F.;Gronert, Scott;Shurvell, Herbert F.;Lightner, David A.;Cooks, Robert Graham</t>
  </si>
  <si>
    <t>https://ebookcentral.proquest.com/lib/seucn/detail.action?docID=5138236</t>
  </si>
  <si>
    <t>Introduction to Research Methods and Data Analysis in Psychology 3rd edn : UEL</t>
  </si>
  <si>
    <t>Langdridge, Darren;Hagger-Johnson, Gareth;Hagger-Johnson, Gareth</t>
  </si>
  <si>
    <t>https://ebookcentral.proquest.com/lib/seucn/detail.action?docID=5138239</t>
  </si>
  <si>
    <t>Introduction to Mathematical Statistics and Its Applications: Pearson New International Edition</t>
  </si>
  <si>
    <t>Larsen, Richard J.;Marx, Morris L.;Marx, Morris L.</t>
  </si>
  <si>
    <t>https://ebookcentral.proquest.com/lib/seucn/detail.action?docID=5138244</t>
  </si>
  <si>
    <t>Management Information Systems, Global Edition</t>
  </si>
  <si>
    <t>Laudon, Kenneth;Laudon, Jane P.</t>
  </si>
  <si>
    <t>https://ebookcentral.proquest.com/lib/seucn/detail.action?docID=5138251</t>
  </si>
  <si>
    <t>Analysis with an Introduction to Proof: Pearson New International Edition</t>
  </si>
  <si>
    <t>Lay, Steven R.</t>
  </si>
  <si>
    <t>https://ebookcentral.proquest.com/lib/seucn/detail.action?docID=5138255</t>
  </si>
  <si>
    <t>Psychology of Success : Secrets of serial achievement</t>
  </si>
  <si>
    <t>Leary-Joyce, Judith</t>
  </si>
  <si>
    <t>BF637.S8L422 2009</t>
  </si>
  <si>
    <t>https://ebookcentral.proquest.com/lib/seucn/detail.action?docID=5138257</t>
  </si>
  <si>
    <t>Just the Job! : Smart and fast strategies to get the perfect job</t>
  </si>
  <si>
    <t>HF5382.7</t>
  </si>
  <si>
    <t>Raesumaes (Employment)</t>
  </si>
  <si>
    <t>https://ebookcentral.proquest.com/lib/seucn/detail.action?docID=5138261</t>
  </si>
  <si>
    <t>Elementary Statistics in Social Research: Pearson New International Edition</t>
  </si>
  <si>
    <t>Levin, Jack A.;Fox, James Alan;Fox, James Alan</t>
  </si>
  <si>
    <t>https://ebookcentral.proquest.com/lib/seucn/detail.action?docID=5138267</t>
  </si>
  <si>
    <t>Calculus with Applications: Pearson New International Edition</t>
  </si>
  <si>
    <t>Lial, Margaret;Greenwell, Raymond N.;Ritchey, Nathan P.</t>
  </si>
  <si>
    <t>https://ebookcentral.proquest.com/lib/seucn/detail.action?docID=5138277</t>
  </si>
  <si>
    <t>Finite Mathematics and Calculus with Applications: Pearson New International Edition</t>
  </si>
  <si>
    <t>Lial, Margaret;Greenwell, Raymond N.;Ritchey, Nathan P.;Greenwell, Raymond N.;Ritchey, Nathan P.</t>
  </si>
  <si>
    <t>https://ebookcentral.proquest.com/lib/seucn/detail.action?docID=5138278</t>
  </si>
  <si>
    <t>Lial, Margaret;Hornsby, John;McGinnis, Terry;Hornsby, John;McGinnis, Terry</t>
  </si>
  <si>
    <t>https://ebookcentral.proquest.com/lib/seucn/detail.action?docID=5138279</t>
  </si>
  <si>
    <t>Introductory Algebra: Pearson New International Edition</t>
  </si>
  <si>
    <t>https://ebookcentral.proquest.com/lib/seucn/detail.action?docID=5138280</t>
  </si>
  <si>
    <t>Beginning Algebra: Pearson New International Edition</t>
  </si>
  <si>
    <t>https://ebookcentral.proquest.com/lib/seucn/detail.action?docID=5138281</t>
  </si>
  <si>
    <t>Beginning and Intermediate Algebra: Pearson New International Edition</t>
  </si>
  <si>
    <t>https://ebookcentral.proquest.com/lib/seucn/detail.action?docID=5138282</t>
  </si>
  <si>
    <t>Lial, Margaret;Hornsby, John;Schneider, David I.</t>
  </si>
  <si>
    <t>https://ebookcentral.proquest.com/lib/seucn/detail.action?docID=5138284</t>
  </si>
  <si>
    <t>https://ebookcentral.proquest.com/lib/seucn/detail.action?docID=5138285</t>
  </si>
  <si>
    <t>Lial, Margaret;Hornsby, John;Schneider, David I.;Hornsby, John;Schneider, David I.;Daniels, Callie J.</t>
  </si>
  <si>
    <t>https://ebookcentral.proquest.com/lib/seucn/detail.action?docID=5138286</t>
  </si>
  <si>
    <t>Essentials of College Algebra: Pearson New International Edition</t>
  </si>
  <si>
    <t>https://ebookcentral.proquest.com/lib/seucn/detail.action?docID=5138287</t>
  </si>
  <si>
    <t>https://ebookcentral.proquest.com/lib/seucn/detail.action?docID=5138288</t>
  </si>
  <si>
    <t>Emergency Care: Pearson New International Edition</t>
  </si>
  <si>
    <t>Limmer, Daniel J.;O'Keefe, Michael F.;Grant, Harvey T.</t>
  </si>
  <si>
    <t>https://ebookcentral.proquest.com/lib/seucn/detail.action?docID=5138295</t>
  </si>
  <si>
    <t>Psychology Express: Cognitive Psychology (Undergraduate Revision Guide)</t>
  </si>
  <si>
    <t>Ling, Jonathan;Catling, Jonathan;Upton, Dominic;Catling, Jonathan;Upton, Dominic</t>
  </si>
  <si>
    <t>BF201</t>
  </si>
  <si>
    <t>Cognitive psychology</t>
  </si>
  <si>
    <t>https://ebookcentral.proquest.com/lib/seucn/detail.action?docID=5138296</t>
  </si>
  <si>
    <t>Secrets of Success in Marketing : 20 ways to accelerate your marketing performance</t>
  </si>
  <si>
    <t>Linton, Ian</t>
  </si>
  <si>
    <t>https://ebookcentral.proquest.com/lib/seucn/detail.action?docID=5138297</t>
  </si>
  <si>
    <t>Brilliant Life Coach 2e : 10 Inspirational Steps to Transform Your Life</t>
  </si>
  <si>
    <t>Lionnet, Annie</t>
  </si>
  <si>
    <t>https://ebookcentral.proquest.com/lib/seucn/detail.action?docID=5138298</t>
  </si>
  <si>
    <t>Brilliant Relationships 2e : Your ultimate guide to attracting and keeping the perfect partner</t>
  </si>
  <si>
    <t>BF637.C45</t>
  </si>
  <si>
    <t>Man-woman relationships</t>
  </si>
  <si>
    <t>https://ebookcentral.proquest.com/lib/seucn/detail.action?docID=5138299</t>
  </si>
  <si>
    <t>Industrial Organization</t>
  </si>
  <si>
    <t>Lipczynski, John;Wilson, John O.S.;Goddard, John;Wilson, John O. S.;Goddard, John</t>
  </si>
  <si>
    <t>HD30.22</t>
  </si>
  <si>
    <t>Industrial organization (Economic theory)</t>
  </si>
  <si>
    <t>https://ebookcentral.proquest.com/lib/seucn/detail.action?docID=5138300</t>
  </si>
  <si>
    <t>Pettet's Company Law</t>
  </si>
  <si>
    <t>Lowry, John;Reisberg, Arad;Reisberg, Arad</t>
  </si>
  <si>
    <t>KD2079.P48 2012</t>
  </si>
  <si>
    <t>Corporation law - Great Britain</t>
  </si>
  <si>
    <t>https://ebookcentral.proquest.com/lib/seucn/detail.action?docID=5138306</t>
  </si>
  <si>
    <t>Atmosphere: Pearson New International Edition</t>
  </si>
  <si>
    <t>Lutgens, Frederick K;Tarbuck, Edward J.;Tasa, Dennis G.;Tarbuck, Edward J.;Tasa, Dennis</t>
  </si>
  <si>
    <t>https://ebookcentral.proquest.com/lib/seucn/detail.action?docID=5138310</t>
  </si>
  <si>
    <t>Essentials of Children's Literature: Pearson New International Edition</t>
  </si>
  <si>
    <t>Lynch-Brown, Carol M.;Tomlinson, Carl M.;Short, Kathy G;Tomlinson, Carl M.;Short, Kathy G.</t>
  </si>
  <si>
    <t>https://ebookcentral.proquest.com/lib/seucn/detail.action?docID=5138313</t>
  </si>
  <si>
    <t>Law Express: Scottish Business Law (Revision guide)</t>
  </si>
  <si>
    <t>MacIntyre, Ewan;Bisacre, Josephine;Bisacre, Josephine</t>
  </si>
  <si>
    <t>KD2079</t>
  </si>
  <si>
    <t>https://ebookcentral.proquest.com/lib/seucn/detail.action?docID=5138320</t>
  </si>
  <si>
    <t>Study Skills for Art, Design and Media Students</t>
  </si>
  <si>
    <t>Mann, Stewart</t>
  </si>
  <si>
    <t>N345</t>
  </si>
  <si>
    <t>Design - Study and teaching</t>
  </si>
  <si>
    <t>https://ebookcentral.proquest.com/lib/seucn/detail.action?docID=5138329</t>
  </si>
  <si>
    <t>Classroom Management: Pearson New International Edition</t>
  </si>
  <si>
    <t>Manning, M. Lee;Bucher, Katherine T.;Bucher, Katherine T.</t>
  </si>
  <si>
    <t>https://ebookcentral.proquest.com/lib/seucn/detail.action?docID=5138331</t>
  </si>
  <si>
    <t>Anatomy and Physiology Coloring Workbook: Pearson New International Edition</t>
  </si>
  <si>
    <t>Marieb, Elaine N</t>
  </si>
  <si>
    <t>https://ebookcentral.proquest.com/lib/seucn/detail.action?docID=5138335</t>
  </si>
  <si>
    <t>Human Anatomy &amp; Physiology Laboratory Manual, Main Version: Pearson New International Edition</t>
  </si>
  <si>
    <t>Marieb, Elaine N.;Mitchell, Susan J;Smith, Lori A</t>
  </si>
  <si>
    <t>https://ebookcentral.proquest.com/lib/seucn/detail.action?docID=5138336</t>
  </si>
  <si>
    <t>Human Anatomy: Pearson New International Edition</t>
  </si>
  <si>
    <t>Marieb, Elaine N.;Wilhelm, Patricia Brady;Mallatt, Jon B.;Mallatt, Jon B.;Wilhelm, Patricia Brady</t>
  </si>
  <si>
    <t>https://ebookcentral.proquest.com/lib/seucn/detail.action?docID=5138337</t>
  </si>
  <si>
    <t>Short Guide to Writing about History: Pearson New International Edition</t>
  </si>
  <si>
    <t>Marius, Richard A.;Page, Melvin E.</t>
  </si>
  <si>
    <t>https://ebookcentral.proquest.com/lib/seucn/detail.action?docID=5138342</t>
  </si>
  <si>
    <t>Educational Psychology : The impact of psychological research on education</t>
  </si>
  <si>
    <t>Marks Woolfson, Lisa</t>
  </si>
  <si>
    <t>https://ebookcentral.proquest.com/lib/seucn/detail.action?docID=5138343</t>
  </si>
  <si>
    <t>Psychology : UEL</t>
  </si>
  <si>
    <t>Martin, G. Neil;Carlson, Neil R.;Buskist, William;Carlson, Neil R;Buskist, Dr William</t>
  </si>
  <si>
    <t>https://ebookcentral.proquest.com/lib/seucn/detail.action?docID=5138349</t>
  </si>
  <si>
    <t>Teaching Science for All Children: Pearson New International Edition</t>
  </si>
  <si>
    <t>Martin, Ralph;Sexton, Colleen;Franklin, Teresa;Sexton, Colleen;Franklin, Teresa;Gerlovich, Jack;McElroy, Dennis</t>
  </si>
  <si>
    <t>https://ebookcentral.proquest.com/lib/seucn/detail.action?docID=5138350</t>
  </si>
  <si>
    <t>Beginning &amp; Intermediate Algebra: Pearson New International Edition</t>
  </si>
  <si>
    <t>Martin-Gay, Elayn</t>
  </si>
  <si>
    <t>https://ebookcentral.proquest.com/lib/seucn/detail.action?docID=5138352</t>
  </si>
  <si>
    <t>https://ebookcentral.proquest.com/lib/seucn/detail.action?docID=5138353</t>
  </si>
  <si>
    <t>Martini, Frederic H.;Timmons, Michael J.;Tallitsch, Robert B.;Timmons, Michael J.;Tallitsch, Robert B.</t>
  </si>
  <si>
    <t>https://ebookcentral.proquest.com/lib/seucn/detail.action?docID=5138356</t>
  </si>
  <si>
    <t>Thinking Mathematically</t>
  </si>
  <si>
    <t>Mason, J.;Burton, L.;Stacey, K.;Burton, L.;Stacey, Kaye</t>
  </si>
  <si>
    <t>QA39.2.M373 2010</t>
  </si>
  <si>
    <t>https://ebookcentral.proquest.com/lib/seucn/detail.action?docID=5138358</t>
  </si>
  <si>
    <t>Exploring Constitutional and Administrative Law</t>
  </si>
  <si>
    <t>Masterman, Roger;Murray, Colin;Murray, Colin</t>
  </si>
  <si>
    <t>K3165</t>
  </si>
  <si>
    <t>Administrative law - Great Britain</t>
  </si>
  <si>
    <t>https://ebookcentral.proquest.com/lib/seucn/detail.action?docID=5138359</t>
  </si>
  <si>
    <t>Introduction to Environmental Engineering and Science: Pearson New International Edition</t>
  </si>
  <si>
    <t>Masters, Gilbert M.;Ela, Wendell P.;Ela, Wendell P.</t>
  </si>
  <si>
    <t>https://ebookcentral.proquest.com/lib/seucn/detail.action?docID=5138360</t>
  </si>
  <si>
    <t>Project Management</t>
  </si>
  <si>
    <t>Maylor, Harvey</t>
  </si>
  <si>
    <t>HD69.P75M3796 2010</t>
  </si>
  <si>
    <t>Project management</t>
  </si>
  <si>
    <t>https://ebookcentral.proquest.com/lib/seucn/detail.action?docID=5138363</t>
  </si>
  <si>
    <t>Peer Instruction: Pearson New International Edition</t>
  </si>
  <si>
    <t>Mazur, Eric</t>
  </si>
  <si>
    <t>https://ebookcentral.proquest.com/lib/seucn/detail.action?docID=5138367</t>
  </si>
  <si>
    <t>First Course in Statistics, A: Pearson New International Edition</t>
  </si>
  <si>
    <t>McClave, James T;Sincich, Terry;Sincich, Terry T.</t>
  </si>
  <si>
    <t>https://ebookcentral.proquest.com/lib/seucn/detail.action?docID=5138375</t>
  </si>
  <si>
    <t>Structural Steel Design : International Edition</t>
  </si>
  <si>
    <t>McCormac, Jack C.;Csernak, Stephen F.</t>
  </si>
  <si>
    <t>https://ebookcentral.proquest.com/lib/seucn/detail.action?docID=5138376</t>
  </si>
  <si>
    <t>Instructing Students Who Have Literacy Problems: Pearson New International Edition</t>
  </si>
  <si>
    <t>McCormick, Sandra;Zutell, Jerry;Zutell, Jerry</t>
  </si>
  <si>
    <t>https://ebookcentral.proquest.com/lib/seucn/detail.action?docID=5138377</t>
  </si>
  <si>
    <t>Child Development and Education: Pearson New International Edition</t>
  </si>
  <si>
    <t>McDevitt, Teresa M.;Ormrod, Jeanne Ellis;Ormrod, Jeanne Ellis</t>
  </si>
  <si>
    <t>https://ebookcentral.proquest.com/lib/seucn/detail.action?docID=5138378</t>
  </si>
  <si>
    <t>Animal Nutrition</t>
  </si>
  <si>
    <t>McDonald, Peter;Greenhalgh, J.F.D.;Morgan, C A;Greenhalgh, J. F. D.;Morgan, C.A.;Edwards, R.;Sinclair, Liam;Wilkinson, Robert</t>
  </si>
  <si>
    <t>SF95</t>
  </si>
  <si>
    <t>Animal Nutritional Physiological Phenomena</t>
  </si>
  <si>
    <t>https://ebookcentral.proquest.com/lib/seucn/detail.action?docID=5138380</t>
  </si>
  <si>
    <t>Expanded Family Life Cycle, The: Pearson New International Edition</t>
  </si>
  <si>
    <t>McGoldrick, Monica;Carter, Betty;Garcia Preto, Nydia A.;Garcia-Preto, Nydia A.;Carter, Betty</t>
  </si>
  <si>
    <t>https://ebookcentral.proquest.com/lib/seucn/detail.action?docID=5138383</t>
  </si>
  <si>
    <t>Quantum Mechanics: Pearson New International Edition</t>
  </si>
  <si>
    <t>McIntyre, David;Manogue, Corinne A;Tate, Janet;Manogue, Corinne A.;Tate, Janet</t>
  </si>
  <si>
    <t>https://ebookcentral.proquest.com/lib/seucn/detail.action?docID=5138386</t>
  </si>
  <si>
    <t>Legal English : How to Understand and Master the Language of Law</t>
  </si>
  <si>
    <t>McKay, William;Charlton, Helen Elizabeth;Barsoum, Grant;Charlton, Helen Elizabeth;Barsoum, Grant</t>
  </si>
  <si>
    <t>Law; Language/Linguistics</t>
  </si>
  <si>
    <t>KD313</t>
  </si>
  <si>
    <t>Law - Great Britain</t>
  </si>
  <si>
    <t>https://ebookcentral.proquest.com/lib/seucn/detail.action?docID=5138387</t>
  </si>
  <si>
    <t>Classroom Assessment: Pearson New International Edition</t>
  </si>
  <si>
    <t>McMillan, James H.</t>
  </si>
  <si>
    <t>https://ebookcentral.proquest.com/lib/seucn/detail.action?docID=5138397</t>
  </si>
  <si>
    <t>McMillan, James H.;Schumacher, Sally;Schumacher, Sally</t>
  </si>
  <si>
    <t>LB1028</t>
  </si>
  <si>
    <t>https://ebookcentral.proquest.com/lib/seucn/detail.action?docID=5138398</t>
  </si>
  <si>
    <t>How to Succeed in Exams &amp; Assessments</t>
  </si>
  <si>
    <t>McMillan, Kathleen;Weyers, Jonathan;McMillan, Kathleen</t>
  </si>
  <si>
    <t>LB3060.57</t>
  </si>
  <si>
    <t>Test-taking skills</t>
  </si>
  <si>
    <t>https://ebookcentral.proquest.com/lib/seucn/detail.action?docID=5138401</t>
  </si>
  <si>
    <t>How to Write Dissertations &amp; Project Reports</t>
  </si>
  <si>
    <t>McMillan, Kathleen;Weyers, Jonathan</t>
  </si>
  <si>
    <t>https://ebookcentral.proquest.com/lib/seucn/detail.action?docID=5138402</t>
  </si>
  <si>
    <t>How to Write Essays &amp; Assignments : UEL</t>
  </si>
  <si>
    <t>PN4500</t>
  </si>
  <si>
    <t>https://ebookcentral.proquest.com/lib/seucn/detail.action?docID=5138403</t>
  </si>
  <si>
    <t>How to Research &amp; Write a Successful PhD</t>
  </si>
  <si>
    <t>McMillan, Kathleen;Weyers, Jonathan;Weyers, Jonathan</t>
  </si>
  <si>
    <t>https://ebookcentral.proquest.com/lib/seucn/detail.action?docID=5138406</t>
  </si>
  <si>
    <t>Fundamentals of General, Organic, and Biological Chemistry: Pearson New International Edition</t>
  </si>
  <si>
    <t>McMurry, John E.;Hoeger, Carl A.;Peterson, Virginia E.</t>
  </si>
  <si>
    <t>https://ebookcentral.proquest.com/lib/seucn/detail.action?docID=5138410</t>
  </si>
  <si>
    <t>Information Systems Management: Pearson New International Edition</t>
  </si>
  <si>
    <t>McNurlin, Barbara;Sprague, Ralph;Bui, Tung;Sprague, Ralph H.;Bui, Tung</t>
  </si>
  <si>
    <t>https://ebookcentral.proquest.com/lib/seucn/detail.action?docID=5138411</t>
  </si>
  <si>
    <t>Second Course in Statistics: Pearson New International Edition</t>
  </si>
  <si>
    <t>Mendenhall, William;Sincich, Terry;Sincich, Terry T.</t>
  </si>
  <si>
    <t>https://ebookcentral.proquest.com/lib/seucn/detail.action?docID=5138419</t>
  </si>
  <si>
    <t>Psychology Express: Social Psychology</t>
  </si>
  <si>
    <t>Mercer, Jenny;Clayton, Deborah;Upton, Dominic;Clayton, Deborah;Upton, Dominic</t>
  </si>
  <si>
    <t>HM1033</t>
  </si>
  <si>
    <t>Social psychology</t>
  </si>
  <si>
    <t>https://ebookcentral.proquest.com/lib/seucn/detail.action?docID=5138421</t>
  </si>
  <si>
    <t>Case Studies in Abnormal Behavior: Pearson New International Edition</t>
  </si>
  <si>
    <t>Meyer, Robert G.;Weaver, Christopher M.;Weaver, Christopher M.</t>
  </si>
  <si>
    <t>https://ebookcentral.proquest.com/lib/seucn/detail.action?docID=5138423</t>
  </si>
  <si>
    <t>Inorganic Chemistry: Pearson New International Edition</t>
  </si>
  <si>
    <t>Miessler, Gary L.;Fischer, Paul J.;Tarr, Donald A.;Fischer, Paul J.;Tarr, Donald A.</t>
  </si>
  <si>
    <t>https://ebookcentral.proquest.com/lib/seucn/detail.action?docID=5138424</t>
  </si>
  <si>
    <t>John E. Freund's Mathematical Statistics with Applications: Pearson New International Edition</t>
  </si>
  <si>
    <t>Miller, Irwin;Miller, Marylees;Miller, Marylees</t>
  </si>
  <si>
    <t>https://ebookcentral.proquest.com/lib/seucn/detail.action?docID=5138428</t>
  </si>
  <si>
    <t>Economics Today: Pearson New International Edition</t>
  </si>
  <si>
    <t>Miller, Roger LeRoy</t>
  </si>
  <si>
    <t>https://ebookcentral.proquest.com/lib/seucn/detail.action?docID=5138430</t>
  </si>
  <si>
    <t>https://ebookcentral.proquest.com/lib/seucn/detail.action?docID=5138431</t>
  </si>
  <si>
    <t>Action Research: Pearson New International Edition</t>
  </si>
  <si>
    <t>Mills, Geoffrey E.</t>
  </si>
  <si>
    <t>https://ebookcentral.proquest.com/lib/seucn/detail.action?docID=5138434</t>
  </si>
  <si>
    <t>Prehospital Emergency Care: Pearson New International Edition</t>
  </si>
  <si>
    <t>Mistovich, Joseph J.;Karren, Keith J.;Hafen, Brent;Karren, Keith J.;Hafen, Brent Q.</t>
  </si>
  <si>
    <t>https://ebookcentral.proquest.com/lib/seucn/detail.action?docID=5138444</t>
  </si>
  <si>
    <t>School and Community Relations, The: Pearson New International Edition</t>
  </si>
  <si>
    <t>Moore, Edward H.;Bagin, Don H.;Gallagher, Donald R.</t>
  </si>
  <si>
    <t>https://ebookcentral.proquest.com/lib/seucn/detail.action?docID=5138456</t>
  </si>
  <si>
    <t>Principles of Biochemistry: Pearson New International Edition</t>
  </si>
  <si>
    <t>Moran, Laurence A;Horton, Robert A;Scrimgeour, Gray;Horton, Robert A.;Scrimgeour, Gray;Perry, Marc;Rawn, David</t>
  </si>
  <si>
    <t>https://ebookcentral.proquest.com/lib/seucn/detail.action?docID=5138457</t>
  </si>
  <si>
    <t>Understanding Psychology: Pearson New International Edition</t>
  </si>
  <si>
    <t>Morris, Charles G.;Maisto, Albert A.;Maisto, Albert A</t>
  </si>
  <si>
    <t>https://ebookcentral.proquest.com/lib/seucn/detail.action?docID=5138459</t>
  </si>
  <si>
    <t>Greeks, The: Pearson New International Edition</t>
  </si>
  <si>
    <t>Morris, Ian;Powell, Barry B.;Powell, Barry B.</t>
  </si>
  <si>
    <t>https://ebookcentral.proquest.com/lib/seucn/detail.action?docID=5138462</t>
  </si>
  <si>
    <t>Literacy Development in the Early Years: Pearson New International Edition</t>
  </si>
  <si>
    <t>Morrow, Lesley Mandel</t>
  </si>
  <si>
    <t>https://ebookcentral.proquest.com/lib/seucn/detail.action?docID=5138465</t>
  </si>
  <si>
    <t>Principles of Animal Physiology: Pearson New International Edition</t>
  </si>
  <si>
    <t>Moyes, Christopher D.;Schulte, Patricia M.;Schulte, Patricia M.</t>
  </si>
  <si>
    <t>https://ebookcentral.proquest.com/lib/seucn/detail.action?docID=5138469</t>
  </si>
  <si>
    <t>Topology: Pearson New International Edition</t>
  </si>
  <si>
    <t>Munkres, James</t>
  </si>
  <si>
    <t>https://ebookcentral.proquest.com/lib/seucn/detail.action?docID=5138474</t>
  </si>
  <si>
    <t>Guide to Managerial Communication: Pearson New International Edition</t>
  </si>
  <si>
    <t>Munter, Mary M.;Hamilton, Lynn;Hamilton, Lynn</t>
  </si>
  <si>
    <t>https://ebookcentral.proquest.com/lib/seucn/detail.action?docID=5138475</t>
  </si>
  <si>
    <t>Fundamentals of Differential Equations: Pearson New International EditionEdition</t>
  </si>
  <si>
    <t>Nagle, R Kent;Saff, Edward B.;Snider, Arthur David;Saff, Edward B.;Snider, Arthur David</t>
  </si>
  <si>
    <t>https://ebookcentral.proquest.com/lib/seucn/detail.action?docID=5138485</t>
  </si>
  <si>
    <t>Artificial Intelligence : A Guide to Intelligent Systems</t>
  </si>
  <si>
    <t>Negnevitsky, Michael</t>
  </si>
  <si>
    <t>QA76.76.E95N445 2010</t>
  </si>
  <si>
    <t>Expert systems (Computer science)</t>
  </si>
  <si>
    <t>https://ebookcentral.proquest.com/lib/seucn/detail.action?docID=5138491</t>
  </si>
  <si>
    <t>Greenhouse Operation and Management: Pearson New International Edition</t>
  </si>
  <si>
    <t>Nelson, Paul V.</t>
  </si>
  <si>
    <t>https://ebookcentral.proquest.com/lib/seucn/detail.action?docID=5138492</t>
  </si>
  <si>
    <t>Calculus For Biology and Medicine: Pearson New International Edition</t>
  </si>
  <si>
    <t>Neuhauser, Claudia</t>
  </si>
  <si>
    <t>https://ebookcentral.proquest.com/lib/seucn/detail.action?docID=5138493</t>
  </si>
  <si>
    <t>Basics of Social Research: Pearson New International Edition</t>
  </si>
  <si>
    <t>Neuman, Lawrence W</t>
  </si>
  <si>
    <t>https://ebookcentral.proquest.com/lib/seucn/detail.action?docID=5138494</t>
  </si>
  <si>
    <t>Understanding Research: Pearson New International Edition</t>
  </si>
  <si>
    <t>Neuman, W. Lawrence</t>
  </si>
  <si>
    <t>https://ebookcentral.proquest.com/lib/seucn/detail.action?docID=5138496</t>
  </si>
  <si>
    <t>Construction Methods and Management: Pearson New International Edition</t>
  </si>
  <si>
    <t>Nunnally, Stephens W.</t>
  </si>
  <si>
    <t>https://ebookcentral.proquest.com/lib/seucn/detail.action?docID=5138510</t>
  </si>
  <si>
    <t>Understanding Global Conflict and Cooperation: Pearson New International Edition</t>
  </si>
  <si>
    <t>Nye, Joseph S.;Welch, David A.;Welch, David A.</t>
  </si>
  <si>
    <t>https://ebookcentral.proquest.com/lib/seucn/detail.action?docID=5138511</t>
  </si>
  <si>
    <t>System Dynamics: Pearson New International Edition</t>
  </si>
  <si>
    <t>Ogata, Katsuhiko</t>
  </si>
  <si>
    <t>https://ebookcentral.proquest.com/lib/seucn/detail.action?docID=5138521</t>
  </si>
  <si>
    <t>Essentials of Educational Psychology: Pearson New International Edition</t>
  </si>
  <si>
    <t>https://ebookcentral.proquest.com/lib/seucn/detail.action?docID=5138529</t>
  </si>
  <si>
    <t>Curriculum: Pearson New International Edition</t>
  </si>
  <si>
    <t>Ornstein, Allan C.;Hunkins, Francis P.</t>
  </si>
  <si>
    <t>https://ebookcentral.proquest.com/lib/seucn/detail.action?docID=5138533</t>
  </si>
  <si>
    <t>Assessing Learners with Special Needs: Pearson New International Edition</t>
  </si>
  <si>
    <t>Overton, Terry</t>
  </si>
  <si>
    <t>https://ebookcentral.proquest.com/lib/seucn/detail.action?docID=5138537</t>
  </si>
  <si>
    <t>Social Studies in Elementary Education: Pearson New International Edition</t>
  </si>
  <si>
    <t>Parker, Walter C.</t>
  </si>
  <si>
    <t>https://ebookcentral.proquest.com/lib/seucn/detail.action?docID=5138551</t>
  </si>
  <si>
    <t>Understanding Race and Ethnic Relations: Pearson New International Edition</t>
  </si>
  <si>
    <t>Parrillo, Vincent N.</t>
  </si>
  <si>
    <t>https://ebookcentral.proquest.com/lib/seucn/detail.action?docID=5138556</t>
  </si>
  <si>
    <t>Strangers to these Shores, Census Update</t>
  </si>
  <si>
    <t>https://ebookcentral.proquest.com/lib/seucn/detail.action?docID=5138557</t>
  </si>
  <si>
    <t>Critical Thinking: Pearson New International Edition</t>
  </si>
  <si>
    <t>Paul, Richard;Elder, Linda;Elder, Linda</t>
  </si>
  <si>
    <t>https://ebookcentral.proquest.com/lib/seucn/detail.action?docID=5138559</t>
  </si>
  <si>
    <t>Introduction to Optics: Pearson New International Edition</t>
  </si>
  <si>
    <t>Pedrotti, Frank L;Pedrotti, Leno M;Pedrotti, Leno S;Pedrotti, Leno M.;Pedrotti, Leno S.</t>
  </si>
  <si>
    <t>https://ebookcentral.proquest.com/lib/seucn/detail.action?docID=5138565</t>
  </si>
  <si>
    <t>Mineralogy: Pearson New International Edition</t>
  </si>
  <si>
    <t>Perkins, Dexter</t>
  </si>
  <si>
    <t>https://ebookcentral.proquest.com/lib/seucn/detail.action?docID=5138571</t>
  </si>
  <si>
    <t>Microeconomics with Calculus, Global Edition</t>
  </si>
  <si>
    <t>Perloff, Jeffrey</t>
  </si>
  <si>
    <t>https://ebookcentral.proquest.com/lib/seucn/detail.action?docID=5138572</t>
  </si>
  <si>
    <t>Construction Accounting &amp; Financial Management: Pearson New International Edition</t>
  </si>
  <si>
    <t>Peterson, Stephen</t>
  </si>
  <si>
    <t>https://ebookcentral.proquest.com/lib/seucn/detail.action?docID=5138577</t>
  </si>
  <si>
    <t>Signals, Systems, and Transforms: Pearson New International Edition</t>
  </si>
  <si>
    <t>Phillips, Charles L.;Parr, John;Riskin, Eve</t>
  </si>
  <si>
    <t>https://ebookcentral.proquest.com/lib/seucn/detail.action?docID=5138579</t>
  </si>
  <si>
    <t>Aircraft Flight</t>
  </si>
  <si>
    <t>Philpott, D.R.;Barnard, R.H.;Philpott, D.R.</t>
  </si>
  <si>
    <t>Engineering; Engineering: General; Engineering: Mechanical</t>
  </si>
  <si>
    <t>https://ebookcentral.proquest.com/lib/seucn/detail.action?docID=5138583</t>
  </si>
  <si>
    <t>People Resourcing and Talent Planning : HRM In Practice</t>
  </si>
  <si>
    <t>Pilbeam, Stephen;Corbridge, Marjorie;Corbridge, Marjorie</t>
  </si>
  <si>
    <t>HF5549</t>
  </si>
  <si>
    <t>Personnel management</t>
  </si>
  <si>
    <t>https://ebookcentral.proquest.com/lib/seucn/detail.action?docID=5138586</t>
  </si>
  <si>
    <t>Critical Reading Critical Thinking: Pearson New International Edition</t>
  </si>
  <si>
    <t>Pirozzi, Richard;Starks-Martin, Gretchen;Dziewisz, Julie</t>
  </si>
  <si>
    <t>https://ebookcentral.proquest.com/lib/seucn/detail.action?docID=5138591</t>
  </si>
  <si>
    <t>Study Skills: Pearson New International Edition</t>
  </si>
  <si>
    <t>Piscitelli, Steve</t>
  </si>
  <si>
    <t>https://ebookcentral.proquest.com/lib/seucn/detail.action?docID=5138592</t>
  </si>
  <si>
    <t>Foundations of Clinical Research: Pearson New International Edition</t>
  </si>
  <si>
    <t>Portney, Leslie Gross;Watkins, Mary P.;Watkins, Mary P.</t>
  </si>
  <si>
    <t>https://ebookcentral.proquest.com/lib/seucn/detail.action?docID=5138604</t>
  </si>
  <si>
    <t>Psychology Express: Biological Psychology (Undergraduate Revision Guide)</t>
  </si>
  <si>
    <t>Preece, Emma;Upton, Dominic;Upton, Dominic;Silber, Kevin</t>
  </si>
  <si>
    <t>Science: Biology/Natural History; Science: Anatomy/Physiology; Science</t>
  </si>
  <si>
    <t>QP360</t>
  </si>
  <si>
    <t>Psychobiology</t>
  </si>
  <si>
    <t>https://ebookcentral.proquest.com/lib/seucn/detail.action?docID=5138606</t>
  </si>
  <si>
    <t>Managerial Accounting</t>
  </si>
  <si>
    <t>Proctor, Ray</t>
  </si>
  <si>
    <t>HF5657.4</t>
  </si>
  <si>
    <t>Managerial accounting</t>
  </si>
  <si>
    <t>https://ebookcentral.proquest.com/lib/seucn/detail.action?docID=5138612</t>
  </si>
  <si>
    <t>Engineering Fundamentals of the Internal Combustion Engine: Pearson New International Edition</t>
  </si>
  <si>
    <t>Pulkrabek, Willard W.</t>
  </si>
  <si>
    <t>https://ebookcentral.proquest.com/lib/seucn/detail.action?docID=5138615</t>
  </si>
  <si>
    <t>Sociology : Making Sense of Society</t>
  </si>
  <si>
    <t>Punch, Samantha;Harden, Jeni;Marsh, Ian;Harden, Jeni;Marsh, Ian;Keating, Mike</t>
  </si>
  <si>
    <t>HM585</t>
  </si>
  <si>
    <t>Sociology</t>
  </si>
  <si>
    <t>https://ebookcentral.proquest.com/lib/seucn/detail.action?docID=5138616</t>
  </si>
  <si>
    <t>Practice of Computing Using Python, The: Pearson New International Edition</t>
  </si>
  <si>
    <t>Punch, William F.;Enbody, Richard</t>
  </si>
  <si>
    <t>https://ebookcentral.proquest.com/lib/seucn/detail.action?docID=5138617</t>
  </si>
  <si>
    <t>Cognitive Psychology</t>
  </si>
  <si>
    <t>Quinlan, Philip;Dyson, Ben;Dyson, Ben</t>
  </si>
  <si>
    <t>https://ebookcentral.proquest.com/lib/seucn/detail.action?docID=5138618</t>
  </si>
  <si>
    <t>Tort Law</t>
  </si>
  <si>
    <t>Negligence</t>
  </si>
  <si>
    <t>https://ebookcentral.proquest.com/lib/seucn/detail.action?docID=5138619</t>
  </si>
  <si>
    <t>https://ebookcentral.proquest.com/lib/seucn/detail.action?docID=5138627</t>
  </si>
  <si>
    <t>Learners with Mild Disabilities: Pearson New International Edition</t>
  </si>
  <si>
    <t>Raymond, Eileen B.;DeCourcey, Catherine M.</t>
  </si>
  <si>
    <t>https://ebookcentral.proquest.com/lib/seucn/detail.action?docID=5138629</t>
  </si>
  <si>
    <t>Study Guide for Campbell Biology: Pearson New International Edition</t>
  </si>
  <si>
    <t>Reece, Jane B.;Taylor, Martha R.;Simon, Eric J.;Taylor, Martha R.;Simon, Eric J.;Dickey, Jean L.;Liebaert, Richard M</t>
  </si>
  <si>
    <t>https://ebookcentral.proquest.com/lib/seucn/detail.action?docID=5138633</t>
  </si>
  <si>
    <t>Chemistry for Biologists</t>
  </si>
  <si>
    <t>Reed, David</t>
  </si>
  <si>
    <t>QD415.R44 2013</t>
  </si>
  <si>
    <t>Biochemistry</t>
  </si>
  <si>
    <t>https://ebookcentral.proquest.com/lib/seucn/detail.action?docID=5138636</t>
  </si>
  <si>
    <t>Programmable Logic Controllers: Pearson New International Edition</t>
  </si>
  <si>
    <t>Rehg, James A.;Sartori, Glenn J.;Sartori, Glenn J.</t>
  </si>
  <si>
    <t>https://ebookcentral.proquest.com/lib/seucn/detail.action?docID=5138645</t>
  </si>
  <si>
    <t>Women, Men, and Society: Pearson New International Edition</t>
  </si>
  <si>
    <t>Renzetti, Claire M.;Curran, Daniel J.;Maier, Shana L.;Curran, Daniel J.;Maier, Shana L.</t>
  </si>
  <si>
    <t>https://ebookcentral.proquest.com/lib/seucn/detail.action?docID=5138652</t>
  </si>
  <si>
    <t>Teaching Children to Read: Pearson New International Edition</t>
  </si>
  <si>
    <t>Reutzel, D. Ray;Cooter, Robert B.</t>
  </si>
  <si>
    <t>https://ebookcentral.proquest.com/lib/seucn/detail.action?docID=5138653</t>
  </si>
  <si>
    <t>Civil and Environmental Systems Engineering: Pearson New International Edition</t>
  </si>
  <si>
    <t>Revelle, Charles S.;Whitlatch, Earl;Wright, Jeff;Whitlatch, Earl;Wright, Jeff</t>
  </si>
  <si>
    <t>https://ebookcentral.proquest.com/lib/seucn/detail.action?docID=5138654</t>
  </si>
  <si>
    <t>Essential College Physics: Pearson New International Edition</t>
  </si>
  <si>
    <t>Rex, Andrew;Wolfson, Richard;Wolfson, Richard</t>
  </si>
  <si>
    <t>https://ebookcentral.proquest.com/lib/seucn/detail.action?docID=5138655</t>
  </si>
  <si>
    <t>Mastering Modern Psychological Testing: Pearson New International Edition</t>
  </si>
  <si>
    <t>Reynolds, Cecil R;Livingston, Ronald B;Livingston, Ronald B.</t>
  </si>
  <si>
    <t>https://ebookcentral.proquest.com/lib/seucn/detail.action?docID=5138656</t>
  </si>
  <si>
    <t>Longman Dictionary of Law</t>
  </si>
  <si>
    <t>Richards, Paul;Curzon, Leslie B.;Curzon, L.B.</t>
  </si>
  <si>
    <t>KD313.C87 2011</t>
  </si>
  <si>
    <t>https://ebookcentral.proquest.com/lib/seucn/detail.action?docID=5138660</t>
  </si>
  <si>
    <t>Keenan and Riches' Business Law 11th edn</t>
  </si>
  <si>
    <t>Riches, Sarah;Allen, Vida;Allen, Vida</t>
  </si>
  <si>
    <t>https://ebookcentral.proquest.com/lib/seucn/detail.action?docID=5138661</t>
  </si>
  <si>
    <t>Legal Philosophy</t>
  </si>
  <si>
    <t>Riley, Stephen</t>
  </si>
  <si>
    <t>K230</t>
  </si>
  <si>
    <t>https://ebookcentral.proquest.com/lib/seucn/detail.action?docID=5138662</t>
  </si>
  <si>
    <t>Principles of Money, Banking &amp; Financial Markets: Pearson New International Edition</t>
  </si>
  <si>
    <t>Ritter, Lawrence S.;Silber, William L.;Udell, Gregory F.;Silber, William L.;Udell, Gregory F.</t>
  </si>
  <si>
    <t>https://ebookcentral.proquest.com/lib/seucn/detail.action?docID=5138663</t>
  </si>
  <si>
    <t>Fundamentals of Management: Global Edition</t>
  </si>
  <si>
    <t>Robbins, Stephen;De Cenzo, David;Coulter, Mary</t>
  </si>
  <si>
    <t>https://ebookcentral.proquest.com/lib/seucn/detail.action?docID=5138673</t>
  </si>
  <si>
    <t>Golosa: Pearson New International Edition</t>
  </si>
  <si>
    <t>Robin, Richard M.;Evans-Romaine, Karen;Shatalina, Galina;Evans-Romaine, Karen;Shatalina, Galina;Robin, Joanna</t>
  </si>
  <si>
    <t>https://ebookcentral.proquest.com/lib/seucn/detail.action?docID=5138676</t>
  </si>
  <si>
    <t>Cognitive Psychology: Pearson New International Edition</t>
  </si>
  <si>
    <t>Robinson-Riegler, Bridget;Robinson-Riegler, Gregory L.</t>
  </si>
  <si>
    <t>https://ebookcentral.proquest.com/lib/seucn/detail.action?docID=5138677</t>
  </si>
  <si>
    <t>Integrating Educational Technology into Teaching: Pearson New International Edition</t>
  </si>
  <si>
    <t>Roblyer, M. D.;Doering, Aaron H.;Doering, Aaron H.</t>
  </si>
  <si>
    <t>https://ebookcentral.proquest.com/lib/seucn/detail.action?docID=5138678</t>
  </si>
  <si>
    <t>Beginning and Intermediate Algebra with Applications &amp; Visualization: Pearson New International Edition</t>
  </si>
  <si>
    <t>Rockswold, Gary K;Krieger, Terry A;Krieger, Terry A.</t>
  </si>
  <si>
    <t>https://ebookcentral.proquest.com/lib/seucn/detail.action?docID=5138680</t>
  </si>
  <si>
    <t>Academic Writer's Handbook: Pearson New International Edition</t>
  </si>
  <si>
    <t>Rosen, Leonard J.</t>
  </si>
  <si>
    <t>https://ebookcentral.proquest.com/lib/seucn/detail.action?docID=5138685</t>
  </si>
  <si>
    <t>Science of Sound: Pearson New International Edition</t>
  </si>
  <si>
    <t>Rossing, Thomas D.;Moore, Richard F.;Wheeler, Paul A.;Moore, Richard F.;Wheeler, Paul A.</t>
  </si>
  <si>
    <t>https://ebookcentral.proquest.com/lib/seucn/detail.action?docID=5138690</t>
  </si>
  <si>
    <t>Cultural Landscape: An Introduction to Human Geography</t>
  </si>
  <si>
    <t>Rubenstein, James M.</t>
  </si>
  <si>
    <t>https://ebookcentral.proquest.com/lib/seucn/detail.action?docID=5138693</t>
  </si>
  <si>
    <t>iGenetics: Pearson New International Edition</t>
  </si>
  <si>
    <t>Russell, Peter J.</t>
  </si>
  <si>
    <t>https://ebookcentral.proquest.com/lib/seucn/detail.action?docID=5138696</t>
  </si>
  <si>
    <t>Artificial Intelligence: Pearson New International Edition</t>
  </si>
  <si>
    <t>Russell, Stuart;Norvig, Peter</t>
  </si>
  <si>
    <t>https://ebookcentral.proquest.com/lib/seucn/detail.action?docID=5138697</t>
  </si>
  <si>
    <t>Scott Foresman Handbook for Writers: Pearson New International Edition</t>
  </si>
  <si>
    <t>Ruszkiewicz, John J.;Friend, Christy E.;Seward, Daniel E.;Friend, Christy;Seward, Daniel E.;Hairston, Maxine</t>
  </si>
  <si>
    <t>https://ebookcentral.proquest.com/lib/seucn/detail.action?docID=5138699</t>
  </si>
  <si>
    <t>Fundamentals of Complex Analysis  with Applications to Engineering,  Science, and Mathematics: Pearson New International Edition</t>
  </si>
  <si>
    <t>Saff, Edward B.;Snider, Arthur David;Snider, Arthur David</t>
  </si>
  <si>
    <t>https://ebookcentral.proquest.com/lib/seucn/detail.action?docID=5138704</t>
  </si>
  <si>
    <t>Modern Quantum Mechanics: Pearson New International Edition</t>
  </si>
  <si>
    <t>Sakurai, J. J.;Napolitano, Jim J.;Napolitano, Jim J.</t>
  </si>
  <si>
    <t>https://ebookcentral.proquest.com/lib/seucn/detail.action?docID=5138705</t>
  </si>
  <si>
    <t>Exploring Research: Pearson New International Edition</t>
  </si>
  <si>
    <t>Salkind, Neil J</t>
  </si>
  <si>
    <t>https://ebookcentral.proquest.com/lib/seucn/detail.action?docID=5138706</t>
  </si>
  <si>
    <t>Gas Turbine Theory</t>
  </si>
  <si>
    <t>Saravanamuttoo, H.I.H.;Rogers, G.F.C.;Cohen, H.;Straznicky, P. V.;Rogers, G. F. C.;Cohen, H.</t>
  </si>
  <si>
    <t>Engineering; Engineering: Mechanical; Engineering: General</t>
  </si>
  <si>
    <t>TJ778.S24 2008</t>
  </si>
  <si>
    <t>https://ebookcentral.proquest.com/lib/seucn/detail.action?docID=5138712</t>
  </si>
  <si>
    <t>How You Can Talk to Anyone in Every Situation</t>
  </si>
  <si>
    <t>Sargent, Emma;Fearon, Tim</t>
  </si>
  <si>
    <t>https://ebookcentral.proquest.com/lib/seucn/detail.action?docID=5138714</t>
  </si>
  <si>
    <t>Numerical Analysis: Pearson New International Edition</t>
  </si>
  <si>
    <t>Sauer, Timothy</t>
  </si>
  <si>
    <t>https://ebookcentral.proquest.com/lib/seucn/detail.action?docID=5138715</t>
  </si>
  <si>
    <t>Criminal Justice Today: Pearson New International Edition</t>
  </si>
  <si>
    <t>Schmalleger, Frank J.</t>
  </si>
  <si>
    <t>https://ebookcentral.proquest.com/lib/seucn/detail.action?docID=5138730</t>
  </si>
  <si>
    <t>Structures: Pearson New International Edition</t>
  </si>
  <si>
    <t>Schodek, Daniel;Bechthold, Martin;Bechthold, Martin</t>
  </si>
  <si>
    <t>https://ebookcentral.proquest.com/lib/seucn/detail.action?docID=5138736</t>
  </si>
  <si>
    <t>Learning Theories: Pearson New International Edition</t>
  </si>
  <si>
    <t>Schunk, Dale H.</t>
  </si>
  <si>
    <t>https://ebookcentral.proquest.com/lib/seucn/detail.action?docID=5138738</t>
  </si>
  <si>
    <t>Motivation in Education: Pearson New International Edition</t>
  </si>
  <si>
    <t>Schunk, Dale H.;Meece, Judith R;Pintrich, Paul R.;Meece, Judith R;Pintrich, Paul R.</t>
  </si>
  <si>
    <t>https://ebookcentral.proquest.com/lib/seucn/detail.action?docID=5138739</t>
  </si>
  <si>
    <t>Managing Classroom Behavior Using Positive Behavior Supports: Pearson New International Edition</t>
  </si>
  <si>
    <t>Scott, Terrance M.;Anderson, Cynthia M.;Alter, Peter;Anderson, Cynthia M.;Alter, Peter</t>
  </si>
  <si>
    <t>https://ebookcentral.proquest.com/lib/seucn/detail.action?docID=5138741</t>
  </si>
  <si>
    <t>Cultural Anthropology: Pearson New International Edition</t>
  </si>
  <si>
    <t>Scupin, Raymond</t>
  </si>
  <si>
    <t>https://ebookcentral.proquest.com/lib/seucn/detail.action?docID=5138743</t>
  </si>
  <si>
    <t>Families and their Social Worlds: Pearson New International Edition</t>
  </si>
  <si>
    <t>Seccombe, Karen T</t>
  </si>
  <si>
    <t>https://ebookcentral.proquest.com/lib/seucn/detail.action?docID=5138747</t>
  </si>
  <si>
    <t>Brilliant Email : How to win back time and take control of your inbox</t>
  </si>
  <si>
    <t>Seeley, Monica</t>
  </si>
  <si>
    <t>https://ebookcentral.proquest.com/lib/seucn/detail.action?docID=5138749</t>
  </si>
  <si>
    <t>Global Problems: Pearson New International Edition</t>
  </si>
  <si>
    <t>Sernau, Scott R.</t>
  </si>
  <si>
    <t>https://ebookcentral.proquest.com/lib/seucn/detail.action?docID=5138753</t>
  </si>
  <si>
    <t>Technology Strategy for Managers and Entrepreneurs: Pearson New International Edition</t>
  </si>
  <si>
    <t>Shane, Scott A.</t>
  </si>
  <si>
    <t>https://ebookcentral.proquest.com/lib/seucn/detail.action?docID=5138757</t>
  </si>
  <si>
    <t>Behavior Management: Pearson New International Edition</t>
  </si>
  <si>
    <t>Shea, Thomas M.;Bauer, Anne M.;Bauer, Anne M.</t>
  </si>
  <si>
    <t>https://ebookcentral.proquest.com/lib/seucn/detail.action?docID=5138762</t>
  </si>
  <si>
    <t>Fundamentals of Organizational Communication: Pearson New International Edition</t>
  </si>
  <si>
    <t>Shockley-Zalabak, Pamela S.</t>
  </si>
  <si>
    <t>https://ebookcentral.proquest.com/lib/seucn/detail.action?docID=5138766</t>
  </si>
  <si>
    <t>Project Management: Pearson New International Edition</t>
  </si>
  <si>
    <t>Shtub, Avraham;Bard, Jonathan F.;Globerson, Shlomo;Bard, Jonathan F.;Globerson, Shlomo</t>
  </si>
  <si>
    <t>https://ebookcentral.proquest.com/lib/seucn/detail.action?docID=5138769</t>
  </si>
  <si>
    <t>Friendly Introduction to Number Theory, A: Pearson New International Edition</t>
  </si>
  <si>
    <t>Silverman, Joseph H.</t>
  </si>
  <si>
    <t>https://ebookcentral.proquest.com/lib/seucn/detail.action?docID=5138770</t>
  </si>
  <si>
    <t>New Beginnings: Pearson New International Edition</t>
  </si>
  <si>
    <t>Simon, Linda</t>
  </si>
  <si>
    <t>https://ebookcentral.proquest.com/lib/seucn/detail.action?docID=5138774</t>
  </si>
  <si>
    <t>Slack, Nigel;Brandon-Jones, Alistair;Johnston, Robert;Brandon-Jones, Alistair;Johnston, Robert</t>
  </si>
  <si>
    <t>TS155.S53 2013</t>
  </si>
  <si>
    <t>Production management</t>
  </si>
  <si>
    <t>https://ebookcentral.proquest.com/lib/seucn/detail.action?docID=5138779</t>
  </si>
  <si>
    <t>Thematic Cartography and Geovisualization: Pearson New International Edition</t>
  </si>
  <si>
    <t>Slocum, Terry A.;McMaster, Robert B;Kessler, Fritz C;McMaster, Robert B.;Kessler, Fritz C.;Howard, Hugh H.</t>
  </si>
  <si>
    <t>Science; Science: Astronomy</t>
  </si>
  <si>
    <t>https://ebookcentral.proquest.com/lib/seucn/detail.action?docID=5138785</t>
  </si>
  <si>
    <t>Instructional Technology and Media for Learning: Pearson New International Edition</t>
  </si>
  <si>
    <t>Smaldino, Sharon E.;Lowther, Deborah L.;Russell, James D.;Lowther, Deborah L.;Russell, James D.</t>
  </si>
  <si>
    <t>https://ebookcentral.proquest.com/lib/seucn/detail.action?docID=5138791</t>
  </si>
  <si>
    <t>Engineering Computation with MATLAB: International Edition</t>
  </si>
  <si>
    <t>Smith, David M.</t>
  </si>
  <si>
    <t>https://ebookcentral.proquest.com/lib/seucn/detail.action?docID=5138793</t>
  </si>
  <si>
    <t>Introduction to Land Law 3e</t>
  </si>
  <si>
    <t>https://ebookcentral.proquest.com/lib/seucn/detail.action?docID=5138798</t>
  </si>
  <si>
    <t>Instruction of Students with Severe Disabilities: Pearson New International Edition</t>
  </si>
  <si>
    <t>Snell, Martha E.;Brown, Fredda E;Brown, Fredda</t>
  </si>
  <si>
    <t>https://ebookcentral.proquest.com/lib/seucn/detail.action?docID=5138804</t>
  </si>
  <si>
    <t>Global Investments: Pearson New International Edition</t>
  </si>
  <si>
    <t>Solnik, Bruno;McLeavey, Dennis;McLeavey, Dennis</t>
  </si>
  <si>
    <t>https://ebookcentral.proquest.com/lib/seucn/detail.action?docID=5138807</t>
  </si>
  <si>
    <t>Social Media Marketing: Pearson New International Edition</t>
  </si>
  <si>
    <t>Solomon, Michael R;Tuten, Tracy;Tuten, Tracy L.</t>
  </si>
  <si>
    <t>https://ebookcentral.proquest.com/lib/seucn/detail.action?docID=5138811</t>
  </si>
  <si>
    <t>Solso, Robert L.;Maclin, Otto H.;MacLin, M. Kimberly;MacLin, Otto H.;MacLin, M. Kimberly</t>
  </si>
  <si>
    <t>https://ebookcentral.proquest.com/lib/seucn/detail.action?docID=5138812</t>
  </si>
  <si>
    <t>Elementary Linear Algebra: Pearson New International Edition</t>
  </si>
  <si>
    <t>Spence, Lawrence E.;Insel, Arnold J;Friedberg, Stephen H;Insel, Arnold J.;Friedberg, Stephen H.</t>
  </si>
  <si>
    <t>https://ebookcentral.proquest.com/lib/seucn/detail.action?docID=5138814</t>
  </si>
  <si>
    <t>Basic Statistical Analysis: Pearson New International Edition</t>
  </si>
  <si>
    <t>Sprinthall, Richard C.</t>
  </si>
  <si>
    <t>https://ebookcentral.proquest.com/lib/seucn/detail.action?docID=5138817</t>
  </si>
  <si>
    <t>Principles of Human Physiology: Pearson New International Edition</t>
  </si>
  <si>
    <t>Stanfield, Cindy L</t>
  </si>
  <si>
    <t>https://ebookcentral.proquest.com/lib/seucn/detail.action?docID=5138828</t>
  </si>
  <si>
    <t>How To Think Straight About Psychology: Pearson New International Edition</t>
  </si>
  <si>
    <t>Stanovich, Keith E.</t>
  </si>
  <si>
    <t>https://ebookcentral.proquest.com/lib/seucn/detail.action?docID=5138830</t>
  </si>
  <si>
    <t>Psychology Express: Statistics in Psychology (Undergraduate Revision Guide)</t>
  </si>
  <si>
    <t>Steele, Catherine;Andrews, Holly;Upton, Dominic;Andrews, Holly;Steele, Catherine</t>
  </si>
  <si>
    <t>Psychology - Statistical methods</t>
  </si>
  <si>
    <t>https://ebookcentral.proquest.com/lib/seucn/detail.action?docID=5138834</t>
  </si>
  <si>
    <t>Visual Approach to SPSS for Windows, A: Pearson New International Edition</t>
  </si>
  <si>
    <t>Stern, Leonard D</t>
  </si>
  <si>
    <t>https://ebookcentral.proquest.com/lib/seucn/detail.action?docID=5138838</t>
  </si>
  <si>
    <t>Brilliant Customer Service</t>
  </si>
  <si>
    <t>Stevens, Debra</t>
  </si>
  <si>
    <t>https://ebookcentral.proquest.com/lib/seucn/detail.action?docID=5138839</t>
  </si>
  <si>
    <t>Writing for the Mass Media: Pearson New International Edition</t>
  </si>
  <si>
    <t>Stovall, James G.</t>
  </si>
  <si>
    <t>https://ebookcentral.proquest.com/lib/seucn/detail.action?docID=5138847</t>
  </si>
  <si>
    <t>Employment Law</t>
  </si>
  <si>
    <t>Living Law</t>
  </si>
  <si>
    <t>Strevens, Caroline;Welch, Roger;Welch, Roger</t>
  </si>
  <si>
    <t>KD3009</t>
  </si>
  <si>
    <t>https://ebookcentral.proquest.com/lib/seucn/detail.action?docID=5138851</t>
  </si>
  <si>
    <t>Action Research in Education: Pearson New International Edition</t>
  </si>
  <si>
    <t>Stringer, Ernie</t>
  </si>
  <si>
    <t>https://ebookcentral.proquest.com/lib/seucn/detail.action?docID=5138852</t>
  </si>
  <si>
    <t>World Economy, The: Pearson New International Edition</t>
  </si>
  <si>
    <t>Stutz, Frederick P.;Warf, Barney;Warf, Professor Barney</t>
  </si>
  <si>
    <t>https://ebookcentral.proquest.com/lib/seucn/detail.action?docID=5138858</t>
  </si>
  <si>
    <t>Creating Value from Mergers and Acquisitions</t>
  </si>
  <si>
    <t>Sudarsanam, Sudi</t>
  </si>
  <si>
    <t>HD2746.5.S83 2010</t>
  </si>
  <si>
    <t>Corporations - Valuation</t>
  </si>
  <si>
    <t>https://ebookcentral.proquest.com/lib/seucn/detail.action?docID=5138860</t>
  </si>
  <si>
    <t>Sullivan, Michael</t>
  </si>
  <si>
    <t>https://ebookcentral.proquest.com/lib/seucn/detail.action?docID=5138861</t>
  </si>
  <si>
    <t>https://ebookcentral.proquest.com/lib/seucn/detail.action?docID=5138862</t>
  </si>
  <si>
    <t>https://ebookcentral.proquest.com/lib/seucn/detail.action?docID=5138863</t>
  </si>
  <si>
    <t>Precalculus Enhanced with Graphing Utilities: Pearson New International Edition</t>
  </si>
  <si>
    <t>Sullivan, Michael;Sullivan, Michael</t>
  </si>
  <si>
    <t>https://ebookcentral.proquest.com/lib/seucn/detail.action?docID=5138865</t>
  </si>
  <si>
    <t>Excursions in Modern Mathematics: Pearson New International Edition</t>
  </si>
  <si>
    <t>Tannenbaum, Peter</t>
  </si>
  <si>
    <t>https://ebookcentral.proquest.com/lib/seucn/detail.action?docID=5138882</t>
  </si>
  <si>
    <t>Brilliant Business Writing 2e : How to inspire, engage and persuade through words</t>
  </si>
  <si>
    <t>Taylor, Neil</t>
  </si>
  <si>
    <t>https://ebookcentral.proquest.com/lib/seucn/detail.action?docID=5138899</t>
  </si>
  <si>
    <t>How to Get Things Done Without Trying Too Hard 2e</t>
  </si>
  <si>
    <t>https://ebookcentral.proquest.com/lib/seucn/detail.action?docID=5138904</t>
  </si>
  <si>
    <t>Introduction to Biotechnology: Pearson New International Edition</t>
  </si>
  <si>
    <t>Thieman, William J.;Palladino, Michael A.;Palladino, Michael A.</t>
  </si>
  <si>
    <t>https://ebookcentral.proquest.com/lib/seucn/detail.action?docID=5138911</t>
  </si>
  <si>
    <t>Ethics: Pearson New International Edition</t>
  </si>
  <si>
    <t>Thiroux, Jacques P.;Krasemann, Keith W.;Krasemann, Keith W.</t>
  </si>
  <si>
    <t>https://ebookcentral.proquest.com/lib/seucn/detail.action?docID=5138914</t>
  </si>
  <si>
    <t>Thomas' Calculus Early Transcendentals: Pearson New International Edition</t>
  </si>
  <si>
    <t>Thomas, George B.;Weir, Maurice D.;Hass, Joel R.;Weir, Maurice D.;Hass, Joel R.</t>
  </si>
  <si>
    <t>https://ebookcentral.proquest.com/lib/seucn/detail.action?docID=5138915</t>
  </si>
  <si>
    <t>Essentials of Dental Radiography: Pearson New International Edition</t>
  </si>
  <si>
    <t>Thomson, Evelyn;Johnson, Orlen;Johnson, Orlen N.</t>
  </si>
  <si>
    <t>https://ebookcentral.proquest.com/lib/seucn/detail.action?docID=5138924</t>
  </si>
  <si>
    <t>Measurement and Evaluation in Psychology and Education: Pearson New International Edition</t>
  </si>
  <si>
    <t>Thorndike, Robert M.;Thorndike-Christ, Tracy M.;Thorndike-Christ, Tracy M.</t>
  </si>
  <si>
    <t>https://ebookcentral.proquest.com/lib/seucn/detail.action?docID=5138925</t>
  </si>
  <si>
    <t>Basic Chemistry: Pearson New International Edition</t>
  </si>
  <si>
    <t>Timberlake, Karen C.;Timberlake, William</t>
  </si>
  <si>
    <t>https://ebookcentral.proquest.com/lib/seucn/detail.action?docID=5138933</t>
  </si>
  <si>
    <t>Tobey, John Jr;Slater, Jeffrey;Blair, Jamie;Slater, Jeffrey;Blair, Jamie;Crawford, Jennifer</t>
  </si>
  <si>
    <t>https://ebookcentral.proquest.com/lib/seucn/detail.action?docID=5138936</t>
  </si>
  <si>
    <t>Digital Systems: Pearson New International Edition</t>
  </si>
  <si>
    <t>Tocci, Ronald J.;Widmer, Neal;Moss, Greg;Widmer, Neal S.;Moss, Greg</t>
  </si>
  <si>
    <t>https://ebookcentral.proquest.com/lib/seucn/detail.action?docID=5138939</t>
  </si>
  <si>
    <t>Advanced Electronic Communications Systems:Pearson New International Edition</t>
  </si>
  <si>
    <t>Tomasi, Wayne</t>
  </si>
  <si>
    <t>https://ebookcentral.proquest.com/lib/seucn/detail.action?docID=5138940</t>
  </si>
  <si>
    <t>Literacy in the Middle Grades: Pearson New International Edition</t>
  </si>
  <si>
    <t>Tompkins, Gail E.</t>
  </si>
  <si>
    <t>https://ebookcentral.proquest.com/lib/seucn/detail.action?docID=5138942</t>
  </si>
  <si>
    <t>Literacy for the 21st Century: Pearson New International Edition</t>
  </si>
  <si>
    <t>https://ebookcentral.proquest.com/lib/seucn/detail.action?docID=5138943</t>
  </si>
  <si>
    <t>Introduction to Group Work Practice: Pearson New International Edition</t>
  </si>
  <si>
    <t>Toseland, Ronald W.;Rivas, Robert F.;Rivas, Robert F.</t>
  </si>
  <si>
    <t>https://ebookcentral.proquest.com/lib/seucn/detail.action?docID=5138946</t>
  </si>
  <si>
    <t>Biostatistics for the Biological and Health Sciences with Statdisk: Pearson New International Edition</t>
  </si>
  <si>
    <t>Triola, Marc M.;Triola, Mario F.;Triola, Mario F.</t>
  </si>
  <si>
    <t>https://ebookcentral.proquest.com/lib/seucn/detail.action?docID=5138950</t>
  </si>
  <si>
    <t>Introductory Chemistry Essentials: Pearson New International Edition</t>
  </si>
  <si>
    <t>https://ebookcentral.proquest.com/lib/seucn/detail.action?docID=5138954</t>
  </si>
  <si>
    <t>Innovation Management and New Product Development</t>
  </si>
  <si>
    <t>Trott, Paul</t>
  </si>
  <si>
    <t>HD45.T76 2011</t>
  </si>
  <si>
    <t>Product management</t>
  </si>
  <si>
    <t>https://ebookcentral.proquest.com/lib/seucn/detail.action?docID=5138959</t>
  </si>
  <si>
    <t>Psychology Express: Developmental Psychology (Undergraduate Revision Guide)</t>
  </si>
  <si>
    <t>Upton, Penney;Upton, Dominic;Upton, Dominic</t>
  </si>
  <si>
    <t>Developmental psychology</t>
  </si>
  <si>
    <t>https://ebookcentral.proquest.com/lib/seucn/detail.action?docID=5138968</t>
  </si>
  <si>
    <t>Chez nous: Pearson New International Edition</t>
  </si>
  <si>
    <t>Valdman, Albert;Pons, Cathy;Scullen, Mary Ellen;Pons, Cathy;Scullen, Mary Ellen</t>
  </si>
  <si>
    <t>https://ebookcentral.proquest.com/lib/seucn/detail.action?docID=5138974</t>
  </si>
  <si>
    <t>Evolutionary Psychology</t>
  </si>
  <si>
    <t>van de Braak, Hans</t>
  </si>
  <si>
    <t>BF701</t>
  </si>
  <si>
    <t>Evolutionary psychology</t>
  </si>
  <si>
    <t>https://ebookcentral.proquest.com/lib/seucn/detail.action?docID=5138976</t>
  </si>
  <si>
    <t>Teaching Student-Centered Mathematics: Pearson New International Edition</t>
  </si>
  <si>
    <t>Van de Walle, John A.;Lovin, Lou Ann H.;Karp, Karen H</t>
  </si>
  <si>
    <t>https://ebookcentral.proquest.com/lib/seucn/detail.action?docID=5138977</t>
  </si>
  <si>
    <t>Play at the Center of the Curriculum: Pearson New International Edition</t>
  </si>
  <si>
    <t>Van Hoorn, Judith;Nourot, Patricia Monighan;Scales, Barbara</t>
  </si>
  <si>
    <t>https://ebookcentral.proquest.com/lib/seucn/detail.action?docID=5138979</t>
  </si>
  <si>
    <t>Service Management : An integrated approach</t>
  </si>
  <si>
    <t>Van Looy, Bart;Gemmel, Paul;Van Dierdonck, Roland;Gemmel, Paul;Dierdonck, Roland Van</t>
  </si>
  <si>
    <t>HD9980.5.S47 2011</t>
  </si>
  <si>
    <t>https://ebookcentral.proquest.com/lib/seucn/detail.action?docID=5138981</t>
  </si>
  <si>
    <t>Calculus Early Transcendentals: Pearson New International Edition</t>
  </si>
  <si>
    <t>Varberg, Dale;Purcell, Edwin J.;Rigdon, Steve E.;Purcell, Edwin J.;Rigdon, Steve E.</t>
  </si>
  <si>
    <t>https://ebookcentral.proquest.com/lib/seucn/detail.action?docID=5138982</t>
  </si>
  <si>
    <t>Water Supply and Pollution Control: Pearson New International Edition</t>
  </si>
  <si>
    <t>Viessman, Warren;Hammer, Mark J.;Perez, Elizabeth M;Hammer, Mark J.;Perez, Elizabeth M.;Chadik, Paul</t>
  </si>
  <si>
    <t>https://ebookcentral.proquest.com/lib/seucn/detail.action?docID=5138989</t>
  </si>
  <si>
    <t>Media of Mass Communication: Pearson New International Edition</t>
  </si>
  <si>
    <t>Vivian, John</t>
  </si>
  <si>
    <t>https://ebookcentral.proquest.com/lib/seucn/detail.action?docID=5138991</t>
  </si>
  <si>
    <t>Engineering by Design: Pearson New International Edition</t>
  </si>
  <si>
    <t>Voland, Gerald</t>
  </si>
  <si>
    <t>https://ebookcentral.proquest.com/lib/seucn/detail.action?docID=5138992</t>
  </si>
  <si>
    <t>Helping Young Children Learn Language and Literacy: Pearson New International Edition</t>
  </si>
  <si>
    <t>Vukelich, Carol;Christie, James;Enz, Billie Jean;Christie, James F.;Enz, Billie Jean</t>
  </si>
  <si>
    <t>https://ebookcentral.proquest.com/lib/seucn/detail.action?docID=5138993</t>
  </si>
  <si>
    <t>Solutions Manual for Organic Chemistry: Pearson New International Edition</t>
  </si>
  <si>
    <t>Wade, Leroy G;Simek, Jan W.;Simek, Jan W.</t>
  </si>
  <si>
    <t>https://ebookcentral.proquest.com/lib/seucn/detail.action?docID=5138996</t>
  </si>
  <si>
    <t>Applied Mechanics for Engineering Technology: Pearson New International Edition</t>
  </si>
  <si>
    <t>Walker, Keith M.</t>
  </si>
  <si>
    <t>https://ebookcentral.proquest.com/lib/seucn/detail.action?docID=5139004</t>
  </si>
  <si>
    <t>Economics Express: Microeconomics</t>
  </si>
  <si>
    <t>Wall, Stuart</t>
  </si>
  <si>
    <t>HB172</t>
  </si>
  <si>
    <t>Microeconomics</t>
  </si>
  <si>
    <t>https://ebookcentral.proquest.com/lib/seucn/detail.action?docID=5139007</t>
  </si>
  <si>
    <t>Economics Express: Environmental Economics</t>
  </si>
  <si>
    <t>Business/Management; Economics; Environmental Studies</t>
  </si>
  <si>
    <t>HD75.6.W354 2013</t>
  </si>
  <si>
    <t>Environmental economics</t>
  </si>
  <si>
    <t>https://ebookcentral.proquest.com/lib/seucn/detail.action?docID=5139008</t>
  </si>
  <si>
    <t>Consider Ethics: Pearson New International Edition</t>
  </si>
  <si>
    <t>Waller, Bruce N.</t>
  </si>
  <si>
    <t>https://ebookcentral.proquest.com/lib/seucn/detail.action?docID=5139012</t>
  </si>
  <si>
    <t>Probability and Statistics for Engineers and Scientists: Pearson New International Edition</t>
  </si>
  <si>
    <t>Walpole, Ronald E.;Myers, Raymond H.;Myers, Sharon L.</t>
  </si>
  <si>
    <t>https://ebookcentral.proquest.com/lib/seucn/detail.action?docID=5139013</t>
  </si>
  <si>
    <t>Essentials of Probability &amp; Statistics for Engineers &amp; Scientists: Pearson New International Edition</t>
  </si>
  <si>
    <t>Walpole, Ronald E.;Myers, Raymond;Myers, Sharon L.;Myers, Raymond H.;Myers, Sharon L.;Ye, Keying</t>
  </si>
  <si>
    <t>https://ebookcentral.proquest.com/lib/seucn/detail.action?docID=5139015</t>
  </si>
  <si>
    <t>Equity and Trusts</t>
  </si>
  <si>
    <t>Warner-Reed, Emma</t>
  </si>
  <si>
    <t>Equity - England</t>
  </si>
  <si>
    <t>https://ebookcentral.proquest.com/lib/seucn/detail.action?docID=5139018</t>
  </si>
  <si>
    <t>Land Law</t>
  </si>
  <si>
    <t>Real property - Great Britain</t>
  </si>
  <si>
    <t>https://ebookcentral.proquest.com/lib/seucn/detail.action?docID=5139019</t>
  </si>
  <si>
    <t>Basic Technical Mathematics with Calculus: Pearson New International Edition</t>
  </si>
  <si>
    <t>Washington, Allyn J.</t>
  </si>
  <si>
    <t>https://ebookcentral.proquest.com/lib/seucn/detail.action?docID=5139020</t>
  </si>
  <si>
    <t>Economics Express: Financial Markets and Institutions</t>
  </si>
  <si>
    <t>Webb, Robert;Brahma, Sanjukta</t>
  </si>
  <si>
    <t>HG173</t>
  </si>
  <si>
    <t>Financial institutions</t>
  </si>
  <si>
    <t>https://ebookcentral.proquest.com/lib/seucn/detail.action?docID=5139025</t>
  </si>
  <si>
    <t>Creative Activities and Ideas for Pupils with English as an Additional Language</t>
  </si>
  <si>
    <t>Classroom Gems</t>
  </si>
  <si>
    <t>Webster, Maggie</t>
  </si>
  <si>
    <t>Language/Linguistics; Education</t>
  </si>
  <si>
    <t>PE1128.A2</t>
  </si>
  <si>
    <t>English language - Study and teaching (Elementary) - Great Britain - Foreign speakers</t>
  </si>
  <si>
    <t>https://ebookcentral.proquest.com/lib/seucn/detail.action?docID=5139026</t>
  </si>
  <si>
    <t>Experiments in General Chemistry: Pearson New International Edition</t>
  </si>
  <si>
    <t>Weiss, Gerald S;Greco, Thomas G;Rickard, Lyman H;Greco, Thomas G.;Rickard, Lyman H.</t>
  </si>
  <si>
    <t>https://ebookcentral.proquest.com/lib/seucn/detail.action?docID=5139033</t>
  </si>
  <si>
    <t>Data Structures and Problem Solving Using Java: Pearson New International Edition</t>
  </si>
  <si>
    <t>Weiss, Mark A.</t>
  </si>
  <si>
    <t>https://ebookcentral.proquest.com/lib/seucn/detail.action?docID=5139034</t>
  </si>
  <si>
    <t>Introductory Statistics: Pearson New International Edition</t>
  </si>
  <si>
    <t>Weiss, Neil A.</t>
  </si>
  <si>
    <t>QA276.12.W45 2014</t>
  </si>
  <si>
    <t>https://ebookcentral.proquest.com/lib/seucn/detail.action?docID=5139036</t>
  </si>
  <si>
    <t>THINK Public Relations: Pearson New International Edition</t>
  </si>
  <si>
    <t>Wilcox, Dennis L.;Cameron, Glen T.;Reber, Bryan H.;Cameron, Glen T.;Reber, Bryan H.;Shin, Jae-Hwa</t>
  </si>
  <si>
    <t>https://ebookcentral.proquest.com/lib/seucn/detail.action?docID=5139049</t>
  </si>
  <si>
    <t>Smith and Keenan's English Law</t>
  </si>
  <si>
    <t>Wild, Charles;Weinstein, Stuart;Weinstein, Stuart;Smith, Professor Emeritus Kenneth;Keenan, Denis J</t>
  </si>
  <si>
    <t>KD661.S6 2013</t>
  </si>
  <si>
    <t>https://ebookcentral.proquest.com/lib/seucn/detail.action?docID=5139051</t>
  </si>
  <si>
    <t>International Business, Global Edition</t>
  </si>
  <si>
    <t>Wild, John;Wild, Kenneth</t>
  </si>
  <si>
    <t>https://ebookcentral.proquest.com/lib/seucn/detail.action?docID=5139054</t>
  </si>
  <si>
    <t>Electrical Machines, Drives and Power Systems: Pearson New International Edition</t>
  </si>
  <si>
    <t>Wildi, Theodore</t>
  </si>
  <si>
    <t>https://ebookcentral.proquest.com/lib/seucn/detail.action?docID=5139055</t>
  </si>
  <si>
    <t>Criminological Theory: Pearson New International Edition</t>
  </si>
  <si>
    <t>Williams, Franklin P.;McShane, Marilyn D.;McShane, Marilyn D.</t>
  </si>
  <si>
    <t>https://ebookcentral.proquest.com/lib/seucn/detail.action?docID=5139058</t>
  </si>
  <si>
    <t>Brilliant Business Plan : What to know and do to make the perfect plan</t>
  </si>
  <si>
    <t>Williams, Kevan</t>
  </si>
  <si>
    <t>https://ebookcentral.proquest.com/lib/seucn/detail.action?docID=5139059</t>
  </si>
  <si>
    <t>Kinematics and Dynamics of Machinery: Pearson New International Edition</t>
  </si>
  <si>
    <t>Wilson, Charles E.;Sadler, J. Peter;Sadler, J. Peter</t>
  </si>
  <si>
    <t>Engineering; Engineering: Mechanical</t>
  </si>
  <si>
    <t>https://ebookcentral.proquest.com/lib/seucn/detail.action?docID=5139070</t>
  </si>
  <si>
    <t>Social Work</t>
  </si>
  <si>
    <t>Wilson, Kate;Ruch, Gillian;Lymbery, Mark;Ruch, Gillian;Lymbery, Mark E. F.;Cooper, Andrew</t>
  </si>
  <si>
    <t>HV40</t>
  </si>
  <si>
    <t>Social case work</t>
  </si>
  <si>
    <t>https://ebookcentral.proquest.com/lib/seucn/detail.action?docID=5139073</t>
  </si>
  <si>
    <t>Principles of Igneous and Metamorphic Petrology: Pearson New International Edition</t>
  </si>
  <si>
    <t>Winter, John D.</t>
  </si>
  <si>
    <t>https://ebookcentral.proquest.com/lib/seucn/detail.action?docID=5139076</t>
  </si>
  <si>
    <t>About Philosophy: Pearson New International Edition</t>
  </si>
  <si>
    <t>Wolff, Robert Paul</t>
  </si>
  <si>
    <t>https://ebookcentral.proquest.com/lib/seucn/detail.action?docID=5139082</t>
  </si>
  <si>
    <t>Your Psychology Project Handbook</t>
  </si>
  <si>
    <t>Wood, Clare;Percy, Carol;Giles, David;Percy, Carol;Giles, David</t>
  </si>
  <si>
    <t>BF76.5.W64 2012</t>
  </si>
  <si>
    <t>https://ebookcentral.proquest.com/lib/seucn/detail.action?docID=5139087</t>
  </si>
  <si>
    <t>Understanding Immunology</t>
  </si>
  <si>
    <t>Wood, Peter</t>
  </si>
  <si>
    <t>Medicine; Science: Biology/Natural History; Science</t>
  </si>
  <si>
    <t>QR181.W735 2011</t>
  </si>
  <si>
    <t>Immune System Processes</t>
  </si>
  <si>
    <t>https://ebookcentral.proquest.com/lib/seucn/detail.action?docID=5139089</t>
  </si>
  <si>
    <t>Psychology in Education</t>
  </si>
  <si>
    <t>Woolfolk, Anita E.;Hughes, Malcolm;Walkup, Vivienne;Hughes, Malcolm;Walkup, Vivienne</t>
  </si>
  <si>
    <t>https://ebookcentral.proquest.com/lib/seucn/detail.action?docID=5139093</t>
  </si>
  <si>
    <t>Child and Adolescent Development: Pearson New International Edition</t>
  </si>
  <si>
    <t>Woolfolk, Anita;Perry, Nancy E.;Perry, Nancy E.</t>
  </si>
  <si>
    <t>https://ebookcentral.proquest.com/lib/seucn/detail.action?docID=5139094</t>
  </si>
  <si>
    <t>Assessment in Early Childhood Education: Pearson New International Edition</t>
  </si>
  <si>
    <t>Wortham, Sue C.</t>
  </si>
  <si>
    <t>https://ebookcentral.proquest.com/lib/seucn/detail.action?docID=5139096</t>
  </si>
  <si>
    <t>Environmental Science: Pearson New International Edition</t>
  </si>
  <si>
    <t>Wright, Richard T.;Boorse, Dorothy;Boorse, Dorothy T.</t>
  </si>
  <si>
    <t>Environmental Studies</t>
  </si>
  <si>
    <t>https://ebookcentral.proquest.com/lib/seucn/detail.action?docID=5139099</t>
  </si>
  <si>
    <t>Law and Special Education: Pearson New International Edition</t>
  </si>
  <si>
    <t>Yell, Mitchell L.</t>
  </si>
  <si>
    <t>https://ebookcentral.proquest.com/lib/seucn/detail.action?docID=5139101</t>
  </si>
  <si>
    <t>University Physics with Modern Physics Technology Update, Volume 2 (Chs.21-37): Pearson New International Edition</t>
  </si>
  <si>
    <t>Young, Hugh D.;Freedman, Roger A.;Freedman, Roger A.;Ford, A. Lewis</t>
  </si>
  <si>
    <t>https://ebookcentral.proquest.com/lib/seucn/detail.action?docID=5139103</t>
  </si>
  <si>
    <t>University Physics with Modern Physics Technology Update, Volume 1 (Chs. 1-20): Pearson New International Edition</t>
  </si>
  <si>
    <t>Young, Hugh D.;Freedman, Roger A.;Freedman, Roger A.</t>
  </si>
  <si>
    <t>https://ebookcentral.proquest.com/lib/seucn/detail.action?docID=5139104</t>
  </si>
  <si>
    <t>Biostatistical Analysis: Pearson New International Edition</t>
  </si>
  <si>
    <t>Zar, Jerrold H.</t>
  </si>
  <si>
    <t>https://ebookcentral.proquest.com/lib/seucn/detail.action?docID=5139109</t>
  </si>
  <si>
    <t>Electrical Engineering: Concepts and Applications</t>
  </si>
  <si>
    <t>Zekavat, S.A. Reza</t>
  </si>
  <si>
    <t>https://ebookcentral.proquest.com/lib/seucn/detail.action?docID=5139111</t>
  </si>
  <si>
    <t>Diversity in Families: Pearson New International Edition</t>
  </si>
  <si>
    <t>Zinn, Maxine Baca;Eitzen, D. Stanley;Wells, Barbara;Eitzen, D. Stanley;Wells, Barbara</t>
  </si>
  <si>
    <t>https://ebookcentral.proquest.com/lib/seucn/detail.action?docID=5139113</t>
  </si>
  <si>
    <t>Zirpoli, Thomas J.</t>
  </si>
  <si>
    <t>https://ebookcentral.proquest.com/lib/seucn/detail.action?docID=5139114</t>
  </si>
  <si>
    <t>Life Plan, The: 700 Simple Ways to Change Your Life for the Better</t>
  </si>
  <si>
    <t>https://ebookcentral.proquest.com/lib/seucn/detail.action?docID=5139226</t>
  </si>
  <si>
    <t>Project Managing Change: Practical Tools and Techniques to Make Change Happen</t>
  </si>
  <si>
    <t>Blake, Ira; Bush, Cindy;Bush, Cindy</t>
  </si>
  <si>
    <t>HD58.8.B5496 2009</t>
  </si>
  <si>
    <t>https://ebookcentral.proquest.com/lib/seucn/detail.action?docID=5139260</t>
  </si>
  <si>
    <t>Brilliant Javascipt</t>
  </si>
  <si>
    <t>Bluttman, Ken</t>
  </si>
  <si>
    <t>QA76.73</t>
  </si>
  <si>
    <t>JavaScript (Computer program language)</t>
  </si>
  <si>
    <t>https://ebookcentral.proquest.com/lib/seucn/detail.action?docID=5139266</t>
  </si>
  <si>
    <t>Happiness Plan, The: Simple steps to a happier life</t>
  </si>
  <si>
    <t>Mcconnell, Carmel</t>
  </si>
  <si>
    <t>BJ1481</t>
  </si>
  <si>
    <t>https://ebookcentral.proquest.com/lib/seucn/detail.action?docID=5139543</t>
  </si>
  <si>
    <t>Brilliant Career Finder: How to Find the Right Career for You</t>
  </si>
  <si>
    <t>Monroe, Josephine</t>
  </si>
  <si>
    <t>https://ebookcentral.proquest.com/lib/seucn/detail.action?docID=5139566</t>
  </si>
  <si>
    <t>Happy at Work: Ten Steps to Ultimate Job Satisfaction</t>
  </si>
  <si>
    <t>O'Connell, Fergus</t>
  </si>
  <si>
    <t>https://ebookcentral.proquest.com/lib/seucn/detail.action?docID=5139587</t>
  </si>
  <si>
    <t>How to Be an Entrepreneur: The Six Secrets of Self Made Success</t>
  </si>
  <si>
    <t>Entrepreneurship</t>
  </si>
  <si>
    <t>https://ebookcentral.proquest.com/lib/seucn/detail.action?docID=5139599</t>
  </si>
  <si>
    <t>Beermat Entrepreneur, The: Turn Your Good Idea into a Great Business</t>
  </si>
  <si>
    <t>Southon, Mike; West, Chris;West, Chris;Leigh, Andrew</t>
  </si>
  <si>
    <t>HB615</t>
  </si>
  <si>
    <t>https://ebookcentral.proquest.com/lib/seucn/detail.action?docID=5139659</t>
  </si>
  <si>
    <t>Start Up!: A Practical, Personal Guide to Starting a Successful Business From Absolutely Nothing</t>
  </si>
  <si>
    <t>Spain, Michael; Jackson, Liz;Spain, Michael</t>
  </si>
  <si>
    <t>https://ebookcentral.proquest.com/lib/seucn/detail.action?docID=5139660</t>
  </si>
  <si>
    <t>Mastering Foreign Exchange and Currency Options</t>
  </si>
  <si>
    <t>Taylor, Francesca</t>
  </si>
  <si>
    <t>HG3851</t>
  </si>
  <si>
    <t>Foreign exchange</t>
  </si>
  <si>
    <t>https://ebookcentral.proquest.com/lib/seucn/detail.action?docID=5139685</t>
  </si>
  <si>
    <t>Think Like An Entrepreneur: Your Psychological Toolkit for Success</t>
  </si>
  <si>
    <t>West, Chris; Steinhouse, Robbie;Steinhouse, Robbie</t>
  </si>
  <si>
    <t>Entrepreneurship - Psychological aspects</t>
  </si>
  <si>
    <t>https://ebookcentral.proquest.com/lib/seucn/detail.action?docID=5139717</t>
  </si>
  <si>
    <t>From Acorns: How to Build a Brilliant Business</t>
  </si>
  <si>
    <t>https://ebookcentral.proquest.com/lib/seucn/detail.action?docID=5139745</t>
  </si>
  <si>
    <t>Smart Retail : Practical Winning Ideas and Strategies from the Most Successful Retailers in the World</t>
  </si>
  <si>
    <t>Hammond, Richard</t>
  </si>
  <si>
    <t>HF5429H2824 2011</t>
  </si>
  <si>
    <t>658.8/7</t>
  </si>
  <si>
    <t>https://ebookcentral.proquest.com/lib/seucn/detail.action?docID=5139749</t>
  </si>
  <si>
    <t>Mastering Investment Banking Securities : A Practical Guide to Structures, Products, Pricing and Calculations</t>
  </si>
  <si>
    <t>Kozul, Natasha</t>
  </si>
  <si>
    <t>HG4521</t>
  </si>
  <si>
    <t>Investment banking</t>
  </si>
  <si>
    <t>https://ebookcentral.proquest.com/lib/seucn/detail.action?docID=5139750</t>
  </si>
  <si>
    <t>Physics Technology Update: Pearson New International Edition</t>
  </si>
  <si>
    <t>Walker, James S</t>
  </si>
  <si>
    <t>QC6 .W355 2014</t>
  </si>
  <si>
    <t>Physics-Textbooks. ; Physics.</t>
  </si>
  <si>
    <t>https://ebookcentral.proquest.com/lib/seucn/detail.action?docID=5173484</t>
  </si>
  <si>
    <t>Fundamentals of Differential Equations and Boundary Value Problems: Pearson New International Edition</t>
  </si>
  <si>
    <t>Nagle, R Kent;Saff, Edward;Snider, David</t>
  </si>
  <si>
    <t>QA371 .S653 2014</t>
  </si>
  <si>
    <t>Differential equations. ; Boundary value problems.</t>
  </si>
  <si>
    <t>https://ebookcentral.proquest.com/lib/seucn/detail.action?docID=5173502</t>
  </si>
  <si>
    <t>Marketing Research with SPSS</t>
  </si>
  <si>
    <t>De Pelsmacker, Patrick;Van Kenhove, Patrick;Janssens, Wim;Wijnen, Katrien</t>
  </si>
  <si>
    <t>HF5415.2 .M375 2008</t>
  </si>
  <si>
    <t>Marketing research. ; SPSS for Windows.</t>
  </si>
  <si>
    <t>https://ebookcentral.proquest.com/lib/seucn/detail.action?docID=5173516</t>
  </si>
  <si>
    <t>Thermodynamics, Statistical Thermodynamics, &amp; Kinetics: Pearson New International Edition</t>
  </si>
  <si>
    <t>Engel, Thomas;Reid, Philip</t>
  </si>
  <si>
    <t>QC174.8 .E544 2014</t>
  </si>
  <si>
    <t>Statistical physics. ; Thermodynamics.</t>
  </si>
  <si>
    <t>https://ebookcentral.proquest.com/lib/seucn/detail.action?docID=5173548</t>
  </si>
  <si>
    <t>Bond Markets, Analysis and Strategies Global Edition</t>
  </si>
  <si>
    <t>Pearson Education, Limited</t>
  </si>
  <si>
    <t>Fabozzi, Frank J.</t>
  </si>
  <si>
    <t>HG4651 .F336 2016</t>
  </si>
  <si>
    <t>Bonds. ; Investment analysis. ; Portfolio management.</t>
  </si>
  <si>
    <t>https://ebookcentral.proquest.com/lib/seucn/detail.action?docID=5173552</t>
  </si>
  <si>
    <t>Aronson, Elliot;Wilson, Timothy D.;Akert, Robin M.</t>
  </si>
  <si>
    <t>HM251 .A766 2014</t>
  </si>
  <si>
    <t>Social psychology.</t>
  </si>
  <si>
    <t>https://ebookcentral.proquest.com/lib/seucn/detail.action?docID=5173563</t>
  </si>
  <si>
    <t>Advanced Modern Engineering Mathematics</t>
  </si>
  <si>
    <t>James, Glyn;Burley, David;Clements, Dick;Dyke, Phil;Searl, John;Author;Wright, Jerry</t>
  </si>
  <si>
    <t>Engineering: General; Engineering; Engineering: Civil</t>
  </si>
  <si>
    <t>TA330 .A383 2011</t>
  </si>
  <si>
    <t>Engineering mathematics.</t>
  </si>
  <si>
    <t>https://ebookcentral.proquest.com/lib/seucn/detail.action?docID=5173564</t>
  </si>
  <si>
    <t>How to Cite, Reference &amp; Avoid Plagiarism at University</t>
  </si>
  <si>
    <t>Smarter Study Skills</t>
  </si>
  <si>
    <t>PN171.F56 .M365 2013</t>
  </si>
  <si>
    <t>Bibliographical citations-Handbooks, manuals, etc. ; Plagiarism-Handbooks, manuals, etc. ; Academic writing-Handbooks, manuals, etc.</t>
  </si>
  <si>
    <t>https://ebookcentral.proquest.com/lib/seucn/detail.action?docID=5173567</t>
  </si>
  <si>
    <t>Organisation Design</t>
  </si>
  <si>
    <t>Worren, Nicolay</t>
  </si>
  <si>
    <t>HD50 .W677 2012</t>
  </si>
  <si>
    <t>Delegation of authority. ; Line and staff organization. ; Hierarchies. ; Workflow. ; Personnel management. ; Complex organizations.</t>
  </si>
  <si>
    <t>https://ebookcentral.proquest.com/lib/seucn/detail.action?docID=5173583</t>
  </si>
  <si>
    <t>Brilliant Essay</t>
  </si>
  <si>
    <t>Kirton, Bill</t>
  </si>
  <si>
    <t>Essays - Authorship</t>
  </si>
  <si>
    <t>https://ebookcentral.proquest.com/lib/seucn/detail.action?docID=5173587</t>
  </si>
  <si>
    <t>Introduction to Hospitality Management: Pearson New International Edition</t>
  </si>
  <si>
    <t>Walker, John R.;Walker, Josielyn T.</t>
  </si>
  <si>
    <t>Tourism/Hospitality</t>
  </si>
  <si>
    <t>TX911.3.M27 .W355 2014</t>
  </si>
  <si>
    <t>Hospitality industry-Management.</t>
  </si>
  <si>
    <t>https://ebookcentral.proquest.com/lib/seucn/detail.action?docID=5173591</t>
  </si>
  <si>
    <t>Introduction to Research Methods and Statistics in Psychology : A practical guide for the undergraduate researcher</t>
  </si>
  <si>
    <t>McQueen, Ron;Knussen, Christina</t>
  </si>
  <si>
    <t>BF76.5 .M378 2013</t>
  </si>
  <si>
    <t>Psychology-Research-Methodology-Textbooks. ; Psychometrics-Textbooks.</t>
  </si>
  <si>
    <t>https://ebookcentral.proquest.com/lib/seucn/detail.action?docID=5173618</t>
  </si>
  <si>
    <t>Physical Chemistry: Pearson New International Edition</t>
  </si>
  <si>
    <t>QD453.3 .E544 2014</t>
  </si>
  <si>
    <t>Chemistry, Physical and theoretical-Textbooks. ; Chemistry, Physical and theoretical.</t>
  </si>
  <si>
    <t>https://ebookcentral.proquest.com/lib/seucn/detail.action?docID=5173634</t>
  </si>
  <si>
    <t>International Financial Management: Pearson New International Edition</t>
  </si>
  <si>
    <t>Bekaert, Geert J;Hodrick, Robert J.</t>
  </si>
  <si>
    <t>HG3881 .B453 2014</t>
  </si>
  <si>
    <t>International finance. ; International business enterprises-Finance.</t>
  </si>
  <si>
    <t>https://ebookcentral.proquest.com/lib/seucn/detail.action?docID=5173643</t>
  </si>
  <si>
    <t>Henslin, James M.</t>
  </si>
  <si>
    <t>HM588 .H467 2014</t>
  </si>
  <si>
    <t>Sociology.</t>
  </si>
  <si>
    <t>https://ebookcentral.proquest.com/lib/seucn/detail.action?docID=5173666</t>
  </si>
  <si>
    <t>Teaching Students with Special Needs in Inclusive Settings: Pearson New International Edition</t>
  </si>
  <si>
    <t>Smith, Tom E.;Polloway, Edward A;Patton, James R.;Dowdy, Carol A.</t>
  </si>
  <si>
    <t>LC1201 .T433 2014</t>
  </si>
  <si>
    <t>Inclusive education-United States. ; Special education-United States. ; Children with disabilities-Education-United States.</t>
  </si>
  <si>
    <t>https://ebookcentral.proquest.com/lib/seucn/detail.action?docID=5173668</t>
  </si>
  <si>
    <t>Cognition: Pearson New International Edition</t>
  </si>
  <si>
    <t>Willingham, Daniel T.</t>
  </si>
  <si>
    <t>BF201 .W555 2014</t>
  </si>
  <si>
    <t>Cognitive psychology.</t>
  </si>
  <si>
    <t>https://ebookcentral.proquest.com/lib/seucn/detail.action?docID=5173674</t>
  </si>
  <si>
    <t>Using Multivariate Statistics: Pearson New International Edition</t>
  </si>
  <si>
    <t>Tabachnick, Barbara G.;Fidell, Linda S.</t>
  </si>
  <si>
    <t>QA276 .T333 2014</t>
  </si>
  <si>
    <t>Mathematical statistics.</t>
  </si>
  <si>
    <t>https://ebookcentral.proquest.com/lib/seucn/detail.action?docID=5173686</t>
  </si>
  <si>
    <t>Marketing Across Cultures</t>
  </si>
  <si>
    <t>Usunier, Jean-Claude;Lee, Julie Anne</t>
  </si>
  <si>
    <t>HF1416 .U85 2013</t>
  </si>
  <si>
    <t>Export marketing-Social aspects. ; International business enterprises-Social aspects. ; Intercultural communication.</t>
  </si>
  <si>
    <t>https://ebookcentral.proquest.com/lib/seucn/detail.action?docID=5173693</t>
  </si>
  <si>
    <t>Statistics and Chemometrics for Analytical Chemistry</t>
  </si>
  <si>
    <t>Miller, James;Miller, Jane C</t>
  </si>
  <si>
    <t>QD75.4.C45 .M555 2010</t>
  </si>
  <si>
    <t>Chemometrics.</t>
  </si>
  <si>
    <t>https://ebookcentral.proquest.com/lib/seucn/detail.action?docID=5173699</t>
  </si>
  <si>
    <t>Statistics for Business and Economics: Pearson New International Edition</t>
  </si>
  <si>
    <t>McClave, James T.;Benson, P. George;Sincich, Terry L.</t>
  </si>
  <si>
    <t>HF1017 .M335 2014</t>
  </si>
  <si>
    <t>Commercial statistics. ; Economics-Statistical methods.</t>
  </si>
  <si>
    <t>https://ebookcentral.proquest.com/lib/seucn/detail.action?docID=5173717</t>
  </si>
  <si>
    <t>The Study Skills Book</t>
  </si>
  <si>
    <t>LB2395 .M365 2012</t>
  </si>
  <si>
    <t>Study skills-Handbooks, manuals, etc.</t>
  </si>
  <si>
    <t>https://ebookcentral.proquest.com/lib/seucn/detail.action?docID=5173731</t>
  </si>
  <si>
    <t>Inorganic Chemistry</t>
  </si>
  <si>
    <t>Housecroft, Catherine;Sharpe, Alan G.</t>
  </si>
  <si>
    <t>QD151.3 .H687 2012</t>
  </si>
  <si>
    <t>Chemistry, Inorganic-Textbooks.</t>
  </si>
  <si>
    <t>https://ebookcentral.proquest.com/lib/seucn/detail.action?docID=5173737</t>
  </si>
  <si>
    <t>Foundations of Financial Markets and Institutions: Pearson New International Edition</t>
  </si>
  <si>
    <t>Fabozzi, Frank J;Modigliani, Franco P.;Jones, Frank J.</t>
  </si>
  <si>
    <t>HG173 .F336 2014</t>
  </si>
  <si>
    <t>Financial institutions. ; Finance.</t>
  </si>
  <si>
    <t>https://ebookcentral.proquest.com/lib/seucn/detail.action?docID=5173742</t>
  </si>
  <si>
    <t>International Corporate Governance</t>
  </si>
  <si>
    <t>Goergen, Marc</t>
  </si>
  <si>
    <t>HD2741 .G634 2012</t>
  </si>
  <si>
    <t>Corporate governance.</t>
  </si>
  <si>
    <t>https://ebookcentral.proquest.com/lib/seucn/detail.action?docID=5173759</t>
  </si>
  <si>
    <t>Digital Media Primer: International Edition</t>
  </si>
  <si>
    <t>Wong, Yue-Ling</t>
  </si>
  <si>
    <t>QA76.575 .W665 2013</t>
  </si>
  <si>
    <t>Digital media. ; Multimedia systems.</t>
  </si>
  <si>
    <t>https://ebookcentral.proquest.com/lib/seucn/detail.action?docID=5173788</t>
  </si>
  <si>
    <t>Brilliant Study Skills</t>
  </si>
  <si>
    <t>LB2395 .K578 2010</t>
  </si>
  <si>
    <t>Study skills. ; Report writing. ; Education, Higher.</t>
  </si>
  <si>
    <t>https://ebookcentral.proquest.com/lib/seucn/detail.action?docID=5173798</t>
  </si>
  <si>
    <t>Strategic Brand Management: Global Edition</t>
  </si>
  <si>
    <t>Keller, Kevin</t>
  </si>
  <si>
    <t>HD69.B7 .K455 2013</t>
  </si>
  <si>
    <t>Brand name products-Management.</t>
  </si>
  <si>
    <t>https://ebookcentral.proquest.com/lib/seucn/detail.action?docID=5173836</t>
  </si>
  <si>
    <t>Personal Finance: Pearson New International Edition</t>
  </si>
  <si>
    <t>Keown, Arthur J</t>
  </si>
  <si>
    <t>HG179 .K469 2014</t>
  </si>
  <si>
    <t>Finance, Personal. ; Investments.</t>
  </si>
  <si>
    <t>https://ebookcentral.proquest.com/lib/seucn/detail.action?docID=5173847</t>
  </si>
  <si>
    <t>Organizational Theory, Design, and Change: Global Edition</t>
  </si>
  <si>
    <t>Jones, Gareth R.</t>
  </si>
  <si>
    <t>Social Science; Business/Management</t>
  </si>
  <si>
    <t>HD58.7 .J664 2013</t>
  </si>
  <si>
    <t>Organizational behavior. ; Organizational behavior-Case studies. ; Corporate culture.</t>
  </si>
  <si>
    <t>https://ebookcentral.proquest.com/lib/seucn/detail.action?docID=5173859</t>
  </si>
  <si>
    <t>Tourism : Principles and Practice</t>
  </si>
  <si>
    <t>Fletcher, John;Fyall, Alan;Gilbert, David;Wanhill, Stephen</t>
  </si>
  <si>
    <t>Business/Management; Tourism/Hospitality; Economics</t>
  </si>
  <si>
    <t>G155.A1 .T5892 2013</t>
  </si>
  <si>
    <t>Tourism.</t>
  </si>
  <si>
    <t>https://ebookcentral.proquest.com/lib/seucn/detail.action?docID=5173881</t>
  </si>
  <si>
    <t>Statistics for The Behavioral and Social Sciences: Pearson New International Edition</t>
  </si>
  <si>
    <t>Aron, Arthur;Coups, Elliot;Aron, Elaine N.</t>
  </si>
  <si>
    <t>HA29 .A745 2014</t>
  </si>
  <si>
    <t>300.1/5195</t>
  </si>
  <si>
    <t>Social sciences-Statistical methods. ; Social sciences-Data processing.</t>
  </si>
  <si>
    <t>https://ebookcentral.proquest.com/lib/seucn/detail.action?docID=5173886</t>
  </si>
  <si>
    <t>Hospitality Management and Organisational Behaviour</t>
  </si>
  <si>
    <t>Mullins, Laurie J.;Dossor, Penny</t>
  </si>
  <si>
    <t>TX911.3.M27 .M855 2013</t>
  </si>
  <si>
    <t>https://ebookcentral.proquest.com/lib/seucn/detail.action?docID=5173926</t>
  </si>
  <si>
    <t>Strategic Brand Management</t>
  </si>
  <si>
    <t>Keller, Kevin Lane;Aperia, Tony;Georgson, Mats</t>
  </si>
  <si>
    <t>HD69.B7 .K449 2012</t>
  </si>
  <si>
    <t>658.8/27</t>
  </si>
  <si>
    <t>Brand name products-Management. ; Brand name products-Europe-Management.</t>
  </si>
  <si>
    <t>https://ebookcentral.proquest.com/lib/seucn/detail.action?docID=5173963</t>
  </si>
  <si>
    <t>Introduction to Management Accounting</t>
  </si>
  <si>
    <t>Bhimani, Alnoor;Horngren, Charles T.;Sundem, Gary L.;Stratton, William O.;Schatzberg, Jeff;Author</t>
  </si>
  <si>
    <t>https://ebookcentral.proquest.com/lib/seucn/detail.action?docID=5173974</t>
  </si>
  <si>
    <t>Science of Nutrition, The: Pearson New International Edition</t>
  </si>
  <si>
    <t>Thompson, Janice;Manore, Melinda;Vaughan, Linda</t>
  </si>
  <si>
    <t>RA784 .T466 2014</t>
  </si>
  <si>
    <t>Nutrition.</t>
  </si>
  <si>
    <t>https://ebookcentral.proquest.com/lib/seucn/detail.action?docID=5174024</t>
  </si>
  <si>
    <t>Brilliant Dissertation</t>
  </si>
  <si>
    <t>LB2369 .K578 2011</t>
  </si>
  <si>
    <t>Dissertations, Academic-Handbooks, manuals, etc. ; Academic writing-Handbooks, manuals, etc.</t>
  </si>
  <si>
    <t>https://ebookcentral.proquest.com/lib/seucn/detail.action?docID=5174034</t>
  </si>
  <si>
    <t>How to Improve your Memory for Study</t>
  </si>
  <si>
    <t>Hancock, Jonathan</t>
  </si>
  <si>
    <t>BF385 .H363 2012</t>
  </si>
  <si>
    <t>Mnemonics. ; Memory. ; Study skills.</t>
  </si>
  <si>
    <t>https://ebookcentral.proquest.com/lib/seucn/detail.action?docID=5174058</t>
  </si>
  <si>
    <t>Derivatives Markets: Pearson New International Edition</t>
  </si>
  <si>
    <t>McDonald, Robert L.</t>
  </si>
  <si>
    <t>HG6024.A3 .M336 2014</t>
  </si>
  <si>
    <t>Derivative securities. ; Futures market.</t>
  </si>
  <si>
    <t>https://ebookcentral.proquest.com/lib/seucn/detail.action?docID=5174063</t>
  </si>
  <si>
    <t>Takeovers, Restructuring, and Corporate Governance: Pearson New International Edition</t>
  </si>
  <si>
    <t>Weston, J. Fred;Mitchell, Mark L.;Mulherin, J. Harold</t>
  </si>
  <si>
    <t>HD2741 .W478 2014</t>
  </si>
  <si>
    <t>Corporate governance-United States.</t>
  </si>
  <si>
    <t>https://ebookcentral.proquest.com/lib/seucn/detail.action?docID=5174089</t>
  </si>
  <si>
    <t>The International Business Environment : challenges and changes</t>
  </si>
  <si>
    <t>Brooks, Ian;Weatherston, Jamie;Wilkinson, Graham</t>
  </si>
  <si>
    <t>HF1379 .B766 2011</t>
  </si>
  <si>
    <t>658/.049</t>
  </si>
  <si>
    <t>International trade. ; International finance. ; International economic relations. ; International business enterprises.</t>
  </si>
  <si>
    <t>https://ebookcentral.proquest.com/lib/seucn/detail.action?docID=5174090</t>
  </si>
  <si>
    <t>Smith, Edward E.;Kosslyn, Stephen M.</t>
  </si>
  <si>
    <t>BF311 .S658 2014</t>
  </si>
  <si>
    <t>Cognition-Textbooks. ; Cognitive psychology-Textbooks. ; Cognitive neuroscience-Textbooks.</t>
  </si>
  <si>
    <t>https://ebookcentral.proquest.com/lib/seucn/detail.action?docID=5174135</t>
  </si>
  <si>
    <t>Study Skills for International Students</t>
  </si>
  <si>
    <t>LB2395 .M365 2011</t>
  </si>
  <si>
    <t>378.1/70281</t>
  </si>
  <si>
    <t>Study skills. ; Students, Foreign-Great Britain. ; College student orientation-Great Britain.</t>
  </si>
  <si>
    <t>https://ebookcentral.proquest.com/lib/seucn/detail.action?docID=5174149</t>
  </si>
  <si>
    <t>Occupational Psychology</t>
  </si>
  <si>
    <t>Steptoe-Warren, Gail</t>
  </si>
  <si>
    <t>Business/Management; Psychology</t>
  </si>
  <si>
    <t>HF5548.8 .S747 2013</t>
  </si>
  <si>
    <t>Psychology, Industrial.</t>
  </si>
  <si>
    <t>https://ebookcentral.proquest.com/lib/seucn/detail.action?docID=5174152</t>
  </si>
  <si>
    <t>Calculus &amp; Its Applications: Pearson New International Edition</t>
  </si>
  <si>
    <t>Goldstein, Larry J.;Lay, David;Asmar, Nakhle I;Schneider, David I.</t>
  </si>
  <si>
    <t>QA303.2 .C353 2014</t>
  </si>
  <si>
    <t>Calculus-Textbooks.</t>
  </si>
  <si>
    <t>https://ebookcentral.proquest.com/lib/seucn/detail.action?docID=5174156</t>
  </si>
  <si>
    <t>Psychology Express: Conceptual and Historical Issues in Psychology (Undergraduate Revision Guide)</t>
  </si>
  <si>
    <t>Hughes, Brian M.;Upton, Dominic</t>
  </si>
  <si>
    <t>BF81 .H844 2012</t>
  </si>
  <si>
    <t>Psychology-History. ; Psychology-Philosophy.</t>
  </si>
  <si>
    <t>https://ebookcentral.proquest.com/lib/seucn/detail.action?docID=5174159</t>
  </si>
  <si>
    <t>Life Span Development: Pearson New International Edition</t>
  </si>
  <si>
    <t>BF713 .F453 2014</t>
  </si>
  <si>
    <t>Developmental psychology.</t>
  </si>
  <si>
    <t>https://ebookcentral.proquest.com/lib/seucn/detail.action?docID=5174174</t>
  </si>
  <si>
    <t>Slavin, Robert E.</t>
  </si>
  <si>
    <t>https://ebookcentral.proquest.com/lib/seucn/detail.action?docID=5174180</t>
  </si>
  <si>
    <t>Ashcraft, Mark H.;Radvansky, Gabriel A.</t>
  </si>
  <si>
    <t>BF371 .A843 2014</t>
  </si>
  <si>
    <t>Memory. ; Cognition.</t>
  </si>
  <si>
    <t>https://ebookcentral.proquest.com/lib/seucn/detail.action?docID=5174224</t>
  </si>
  <si>
    <t>Psychology and Life: Pearson New International Edition</t>
  </si>
  <si>
    <t>Gerrig, Richard J.</t>
  </si>
  <si>
    <t>BF121.A4 .G477 2014</t>
  </si>
  <si>
    <t>Psychology.</t>
  </si>
  <si>
    <t>https://ebookcentral.proquest.com/lib/seucn/detail.action?docID=5174247</t>
  </si>
  <si>
    <t>Advertising</t>
  </si>
  <si>
    <t>Fill, Chris;Hughes, Graham;De Francesco, Scott</t>
  </si>
  <si>
    <t>https://ebookcentral.proquest.com/lib/seucn/detail.action?docID=5174261</t>
  </si>
  <si>
    <t>First Course in Probability, A: Pearson New International Edition</t>
  </si>
  <si>
    <t>Ross, Sheldon</t>
  </si>
  <si>
    <t>QA273 .R677 2014</t>
  </si>
  <si>
    <t>Probabilities.</t>
  </si>
  <si>
    <t>https://ebookcentral.proquest.com/lib/seucn/detail.action?docID=5174299</t>
  </si>
  <si>
    <t>Social Problems: Pearson New International Edition</t>
  </si>
  <si>
    <t>HM585 .H467 2014</t>
  </si>
  <si>
    <t>Social problems. ; Deviant behavior. ; Equality.</t>
  </si>
  <si>
    <t>https://ebookcentral.proquest.com/lib/seucn/detail.action?docID=5174314</t>
  </si>
  <si>
    <t>Clinical Nursing Skills: Pearson New International Edition</t>
  </si>
  <si>
    <t>Smith, Sandra F.;Duell, Donna J.;Martin, Barbara</t>
  </si>
  <si>
    <t>Nursing</t>
  </si>
  <si>
    <t>RT41 .S658 2014</t>
  </si>
  <si>
    <t>Nursing.</t>
  </si>
  <si>
    <t>https://ebookcentral.proquest.com/lib/seucn/detail.action?docID=5174321</t>
  </si>
  <si>
    <t>Fashion: Pearson New International Edition</t>
  </si>
  <si>
    <t>Frings, Gini Stephens</t>
  </si>
  <si>
    <t>TT507 .F756 2014</t>
  </si>
  <si>
    <t>Fashion. ; Clothing trade. ; Fashion merchandising.</t>
  </si>
  <si>
    <t>https://ebookcentral.proquest.com/lib/seucn/detail.action?docID=5174347</t>
  </si>
  <si>
    <t>QA152.3 .S855 2014</t>
  </si>
  <si>
    <t>Algebra-Textbooks.</t>
  </si>
  <si>
    <t>https://ebookcentral.proquest.com/lib/seucn/detail.action?docID=5174353</t>
  </si>
  <si>
    <t>Family Therapy: Pearson New International Edition</t>
  </si>
  <si>
    <t>Becvar, Dorothy Stroh;Becvar, Raphael J.</t>
  </si>
  <si>
    <t>Medicine; Psychology</t>
  </si>
  <si>
    <t>RC488.5 .B438 2014</t>
  </si>
  <si>
    <t>616.89/156</t>
  </si>
  <si>
    <t>Systemic therapy (Family therapy)</t>
  </si>
  <si>
    <t>https://ebookcentral.proquest.com/lib/seucn/detail.action?docID=5174482</t>
  </si>
  <si>
    <t>Patternmaking for Fashion Design: Pearson New International Edition</t>
  </si>
  <si>
    <t>Armstrong, Helen Joseph</t>
  </si>
  <si>
    <t>Home Economics; Fine Arts</t>
  </si>
  <si>
    <t>TT520 .J674 2014</t>
  </si>
  <si>
    <t>Dressmaking-Pattern design.</t>
  </si>
  <si>
    <t>https://ebookcentral.proquest.com/lib/seucn/detail.action?docID=5174492</t>
  </si>
  <si>
    <t>History and Systems of Psychology: Pearson New International Edition</t>
  </si>
  <si>
    <t>Brennan, James F.</t>
  </si>
  <si>
    <t>BF81 .B746 2014</t>
  </si>
  <si>
    <t>https://ebookcentral.proquest.com/lib/seucn/detail.action?docID=5174554</t>
  </si>
  <si>
    <t>Discrete-Time Signal Processing: Pearson New International Edition</t>
  </si>
  <si>
    <t>Oppenheim, Alan V;Schafer, Ronald W.</t>
  </si>
  <si>
    <t>TK5102.5 .O674 2014</t>
  </si>
  <si>
    <t>Signal processing. ; Discrete-time systems.</t>
  </si>
  <si>
    <t>https://ebookcentral.proquest.com/lib/seucn/detail.action?docID=5174607</t>
  </si>
  <si>
    <t>Personality Psychology: Pearson New International Edition</t>
  </si>
  <si>
    <t>Miserandino, Marianne</t>
  </si>
  <si>
    <t>BF698 .M574 2014</t>
  </si>
  <si>
    <t>Personality.</t>
  </si>
  <si>
    <t>https://ebookcentral.proquest.com/lib/seucn/detail.action?docID=5174632</t>
  </si>
  <si>
    <t>Digital Signal Processing: Pearson New International Edition</t>
  </si>
  <si>
    <t>Proakis, John G.;Manolakis, Dimitris K</t>
  </si>
  <si>
    <t>TK5102.9 .P763 2014</t>
  </si>
  <si>
    <t>Signal processing-Digital techniques.</t>
  </si>
  <si>
    <t>https://ebookcentral.proquest.com/lib/seucn/detail.action?docID=5174771</t>
  </si>
  <si>
    <t>Statistical Reasoning for Everyday Life: Pearson New International Edition</t>
  </si>
  <si>
    <t>Bennett, Jeff;Briggs, William L.;Triola, Mario F.</t>
  </si>
  <si>
    <t>QA276.12 .B466 2014</t>
  </si>
  <si>
    <t>Statistics.</t>
  </si>
  <si>
    <t>https://ebookcentral.proquest.com/lib/seucn/detail.action?docID=5174790</t>
  </si>
  <si>
    <t>Modern Electronic Communication: Pearson New International Edition</t>
  </si>
  <si>
    <t>Beasley, Jeffrey S.;Miller, Gary M.</t>
  </si>
  <si>
    <t>Business/Management; Engineering: Electrical; Engineering</t>
  </si>
  <si>
    <t>HE7631 .B437 2014</t>
  </si>
  <si>
    <t>Telecommunication.</t>
  </si>
  <si>
    <t>https://ebookcentral.proquest.com/lib/seucn/detail.action?docID=5174826</t>
  </si>
  <si>
    <t>Electronic Devices and Circuit Theory: Pearson New International Edition</t>
  </si>
  <si>
    <t>Boylestad, Robert L.;Nashelsky, Louis</t>
  </si>
  <si>
    <t>TK7867 .B695 2014</t>
  </si>
  <si>
    <t>Electronic circuits. ; Electronic apparatus and appliances.</t>
  </si>
  <si>
    <t>https://ebookcentral.proquest.com/lib/seucn/detail.action?docID=5174836</t>
  </si>
  <si>
    <t>Introduction to Data Mining: Pearson New International Edition</t>
  </si>
  <si>
    <t>Tan, Pang-Ning;Steinbach, Michael;Kumar, Vipin</t>
  </si>
  <si>
    <t>QA76.9.D343 .T36 2014</t>
  </si>
  <si>
    <t>Data mining.</t>
  </si>
  <si>
    <t>https://ebookcentral.proquest.com/lib/seucn/detail.action?docID=5174845</t>
  </si>
  <si>
    <t>Sewing for the Apparel Industry: Pearson New International Edition</t>
  </si>
  <si>
    <t>Shaeffer, Claire</t>
  </si>
  <si>
    <t>Engineering; Fine Arts; Engineering: Manufacturing</t>
  </si>
  <si>
    <t>TT515 .S534 2014</t>
  </si>
  <si>
    <t>Dressmaking. ; Clothing trade. ; Tailoring (Women's)</t>
  </si>
  <si>
    <t>https://ebookcentral.proquest.com/lib/seucn/detail.action?docID=5174873</t>
  </si>
  <si>
    <t>The Longman Handbook for Writers and Readers: Pearson New International Edition</t>
  </si>
  <si>
    <t>Anson, Chris M.;Schwegler, Robert A.</t>
  </si>
  <si>
    <t>Language/Linguistics; Literature</t>
  </si>
  <si>
    <t>PE1408 .S394 2014</t>
  </si>
  <si>
    <t>English language-Rhetoric-Handbooks, manuals, etc. ; English language-Grammar-Handbooks, manuals, etc. ; Reading comprehension-Handbooks, manuals, etc.</t>
  </si>
  <si>
    <t>https://ebookcentral.proquest.com/lib/seucn/detail.action?docID=5174901</t>
  </si>
  <si>
    <t>Elementary Statistics Using Excel: Pearson New International Edition</t>
  </si>
  <si>
    <t>Computer Science/IT; Business/Management</t>
  </si>
  <si>
    <t>HF5548.4.M523 .T756 2015</t>
  </si>
  <si>
    <t>Microsoft Excel (Computer file) ; Statistics.</t>
  </si>
  <si>
    <t>https://ebookcentral.proquest.com/lib/seucn/detail.action?docID=5174909</t>
  </si>
  <si>
    <t>Statics and Strength of Materials for Architecture and Building Construction: Pearson New International Edition</t>
  </si>
  <si>
    <t>Onouye, Barry S.;Kane, Kevin</t>
  </si>
  <si>
    <t>TA658 .O568 2014</t>
  </si>
  <si>
    <t>Structural design. ; Strength of materials.</t>
  </si>
  <si>
    <t>https://ebookcentral.proquest.com/lib/seucn/detail.action?docID=5174963</t>
  </si>
  <si>
    <t>Introductory Mathematical Analysis for Business, Economics, and the Life and Social Sciences: Pearson New International Edition</t>
  </si>
  <si>
    <t>Haeussler, Ernest F;Paul, Richard S.;Wood, Richard J.</t>
  </si>
  <si>
    <t>QA300 .H348 2014</t>
  </si>
  <si>
    <t>Mathematical analysis. ; Economics, Mathematical. ; Business mathematics.</t>
  </si>
  <si>
    <t>https://ebookcentral.proquest.com/lib/seucn/detail.action?docID=5175651</t>
  </si>
  <si>
    <t>Introduction to Human Factors Engineering: Pearson New International Edition</t>
  </si>
  <si>
    <t>Wickens, Christopher D.;Lee, John;Liu, Yili D.;Gordon-Becker, Sallie</t>
  </si>
  <si>
    <t>Engineering: Civil; Engineering: General; Engineering</t>
  </si>
  <si>
    <t>TA166 .W535 2014</t>
  </si>
  <si>
    <t>Human engineering.</t>
  </si>
  <si>
    <t>https://ebookcentral.proquest.com/lib/seucn/detail.action?docID=5175714</t>
  </si>
  <si>
    <t>Social Research Methods: Pearson New International Edition</t>
  </si>
  <si>
    <t>HM48 .N486 2014</t>
  </si>
  <si>
    <t>Sociology-Research-Methodology. ; Social sciences-Research-Methodology. ; Qualitative research.</t>
  </si>
  <si>
    <t>https://ebookcentral.proquest.com/lib/seucn/detail.action?docID=5175740</t>
  </si>
  <si>
    <t>International Business Law: International Edition</t>
  </si>
  <si>
    <t>August, Ray A.;Mayer, Don;Bixby, Michael</t>
  </si>
  <si>
    <t>K1005 .A948 2013</t>
  </si>
  <si>
    <t>Commercial law. ; International business enterprises-Law and legislation.</t>
  </si>
  <si>
    <t>https://ebookcentral.proquest.com/lib/seucn/detail.action?docID=5175865</t>
  </si>
  <si>
    <t>Cosmic Perspective, The: Pearson New International Edition</t>
  </si>
  <si>
    <t>Bennett, Jeffrey O.;Donahue, Megan;Schneider, Nick;Voit, Mark</t>
  </si>
  <si>
    <t>Science: Astronomy; Science</t>
  </si>
  <si>
    <t>QB43.3 .B466 2014</t>
  </si>
  <si>
    <t>Astronomy-Textbooks.</t>
  </si>
  <si>
    <t>https://ebookcentral.proquest.com/lib/seucn/detail.action?docID=5176023</t>
  </si>
  <si>
    <t>Intellectual Property</t>
  </si>
  <si>
    <t>Bainbridge, David</t>
  </si>
  <si>
    <t>KD1269 .B356 2012</t>
  </si>
  <si>
    <t>Intellectual property-Great Britain.</t>
  </si>
  <si>
    <t>https://ebookcentral.proquest.com/lib/seucn/detail.action?docID=5176817</t>
  </si>
  <si>
    <t>Brilliant Copywriting : How to craft the most interesting and effective copy imaginable</t>
  </si>
  <si>
    <t>FT Press</t>
  </si>
  <si>
    <t>Brilliant Business</t>
  </si>
  <si>
    <t>Horberry, Roger</t>
  </si>
  <si>
    <t>HF5825 .H673 2009</t>
  </si>
  <si>
    <t>Advertising copy.</t>
  </si>
  <si>
    <t>https://ebookcentral.proquest.com/lib/seucn/detail.action?docID=5185652</t>
  </si>
  <si>
    <t>Brilliant Intern</t>
  </si>
  <si>
    <t>Scherer, Andrew;Rosen, Ben</t>
  </si>
  <si>
    <t>LC1072.I58 .S347 2012</t>
  </si>
  <si>
    <t>Internship programs-Great Britain.</t>
  </si>
  <si>
    <t>https://ebookcentral.proquest.com/lib/seucn/detail.action?docID=5185658</t>
  </si>
  <si>
    <t>How to Argue</t>
  </si>
  <si>
    <t>Bonnett, Alastair</t>
  </si>
  <si>
    <t>Literature; Language/Linguistics</t>
  </si>
  <si>
    <t>PE1479.S62 .B666 2011</t>
  </si>
  <si>
    <t>English language-Rhetoric. ; Social sciences-Authorship. ; Persuasion (Rhetoric)</t>
  </si>
  <si>
    <t>https://ebookcentral.proquest.com/lib/seucn/detail.action?docID=5185704</t>
  </si>
  <si>
    <t>Interpersonal Communication: Pearson New International Edition</t>
  </si>
  <si>
    <t>Beebe, Steven A.;Beebe, Susan J.;Redmond, Mark V.</t>
  </si>
  <si>
    <t>Social Science; Psychology</t>
  </si>
  <si>
    <t>BF637.C45 .B443 2014</t>
  </si>
  <si>
    <t>Interpersonal communication-Textbooks.</t>
  </si>
  <si>
    <t>https://ebookcentral.proquest.com/lib/seucn/detail.action?docID=5185773</t>
  </si>
  <si>
    <t>Early Childhood Development: Pearson New International Edition</t>
  </si>
  <si>
    <t>Trawick-Smith, Jeffrey</t>
  </si>
  <si>
    <t>LB1115 .T739 2014</t>
  </si>
  <si>
    <t>Child development. ; Early childhood education. ; Multicultural education.</t>
  </si>
  <si>
    <t>https://ebookcentral.proquest.com/lib/seucn/detail.action?docID=5185802</t>
  </si>
  <si>
    <t>Statistics and Data Analysis for Social Science: Pearson New International Edition</t>
  </si>
  <si>
    <t>Krieg, Eric  J.</t>
  </si>
  <si>
    <t>Mathematics; Social Science</t>
  </si>
  <si>
    <t>HA29 .K754 2014</t>
  </si>
  <si>
    <t>Social sciences-Statistical methods-Textbooks. ; Statistics-Textbooks. ; Social sciences-Statistical methods.</t>
  </si>
  <si>
    <t>https://ebookcentral.proquest.com/lib/seucn/detail.action?docID=5185816</t>
  </si>
  <si>
    <t>Research Methods in Criminal Justice and Criminology: Pearson New International Edition</t>
  </si>
  <si>
    <t>Hagan, Frank E.</t>
  </si>
  <si>
    <t>HV6024.5 .H343 2014</t>
  </si>
  <si>
    <t>Criminology-Research-Methodology. ; Criminal justice, Administration of-Research-Methodology.</t>
  </si>
  <si>
    <t>https://ebookcentral.proquest.com/lib/seucn/detail.action?docID=5185870</t>
  </si>
  <si>
    <t>Generalist Social Work Practice: Pearson New International Edition</t>
  </si>
  <si>
    <t>Miley, Karla Krogsrud;O'Melia, Michael W.;DuBois, Brenda L.</t>
  </si>
  <si>
    <t>HV40 .M5223 2014</t>
  </si>
  <si>
    <t>361.3/2</t>
  </si>
  <si>
    <t>Social service. ; Social case work.</t>
  </si>
  <si>
    <t>https://ebookcentral.proquest.com/lib/seucn/detail.action?docID=5185874</t>
  </si>
  <si>
    <t>Carriage of Goods by Sea</t>
  </si>
  <si>
    <t>Wilson, John</t>
  </si>
  <si>
    <t>KD1819 .W55 2010</t>
  </si>
  <si>
    <t>343.4109/6</t>
  </si>
  <si>
    <t>Contracts, Maritime-Great Britain. ; Freight and freightage-Great Britain. ; Charter-parties-Great Britain.</t>
  </si>
  <si>
    <t>https://ebookcentral.proquest.com/lib/seucn/detail.action?docID=5185903</t>
  </si>
  <si>
    <t>Employment Law in Context</t>
  </si>
  <si>
    <t>Willey, Brian</t>
  </si>
  <si>
    <t>KD3009 .W55 2012</t>
  </si>
  <si>
    <t>Labor laws and legislation-Great Britain.</t>
  </si>
  <si>
    <t>https://ebookcentral.proquest.com/lib/seucn/detail.action?docID=5185906</t>
  </si>
  <si>
    <t>Quantum Chemistry and Spectroscopy: Pearson New International Edition</t>
  </si>
  <si>
    <t>Engel, Thomas</t>
  </si>
  <si>
    <t>QD462 .E544 2014</t>
  </si>
  <si>
    <t>Quantum chemistry-Textbooks. ; Spectrum analysis-Textbooks.</t>
  </si>
  <si>
    <t>https://ebookcentral.proquest.com/lib/seucn/detail.action?docID=5186048</t>
  </si>
  <si>
    <t>Fundamentals of Signals and Systems Using the Web and MATLAB: Pearson New International Edition</t>
  </si>
  <si>
    <t>Kamen, Edward W.;Heck, Bonnie S</t>
  </si>
  <si>
    <t>QA297 .K364 2014</t>
  </si>
  <si>
    <t>MATLAB. ; Signal processing-Digital techniques. ; System analysis.</t>
  </si>
  <si>
    <t>https://ebookcentral.proquest.com/lib/seucn/detail.action?docID=5186088</t>
  </si>
  <si>
    <t>Tobey, John Jr;Slater, Jeffrey;Blair, Jamie;Crawford, Jennifer</t>
  </si>
  <si>
    <t>QA152.3 .B445 2014</t>
  </si>
  <si>
    <t>Algebra-Textbooks. ; Algebra.</t>
  </si>
  <si>
    <t>https://ebookcentral.proquest.com/lib/seucn/detail.action?docID=5186090</t>
  </si>
  <si>
    <t>Employment Law for Business Students</t>
  </si>
  <si>
    <t>Nairns, Janice</t>
  </si>
  <si>
    <t>KD3009 .N357 2011</t>
  </si>
  <si>
    <t>https://ebookcentral.proquest.com/lib/seucn/detail.action?docID=5186276</t>
  </si>
  <si>
    <t>Practical Skills in Food Science, Nutrition and Dietetics</t>
  </si>
  <si>
    <t>Practical Skills</t>
  </si>
  <si>
    <t>Aspden, William;Caple, Fiona;Reed, Rob;Jones, Allan;Weyers, Jonathan</t>
  </si>
  <si>
    <t>Home Economics; Health</t>
  </si>
  <si>
    <t>TX364 .P733 2011</t>
  </si>
  <si>
    <t>Dietetics-Study and teaching. ; Food-Study and teaching. ; Nutrition-Textbooks. ; Dietetics-Textbooks. ; Nutrition-Study and teaching.</t>
  </si>
  <si>
    <t>https://ebookcentral.proquest.com/lib/seucn/detail.action?docID=5186317</t>
  </si>
  <si>
    <t>Effective Study Skills : Essential skills for academic and career success</t>
  </si>
  <si>
    <t>Price, Geraldine;Maier, Pat</t>
  </si>
  <si>
    <t>LB1049 .P746 2007</t>
  </si>
  <si>
    <t>Study skills.</t>
  </si>
  <si>
    <t>https://ebookcentral.proquest.com/lib/seucn/detail.action?docID=5186449</t>
  </si>
  <si>
    <t>Statistical and Data Handling Skills in Biology</t>
  </si>
  <si>
    <t>Ennos, Roland</t>
  </si>
  <si>
    <t>https://ebookcentral.proquest.com/lib/seucn/detail.action?docID=5248116</t>
  </si>
  <si>
    <t>Sargeant, Malcolm;Lewis, David</t>
  </si>
  <si>
    <t>https://ebookcentral.proquest.com/lib/seucn/detail.action?docID=5248165</t>
  </si>
  <si>
    <t>International Business</t>
  </si>
  <si>
    <t>Rugman, Alan M.;Collinson, Simon</t>
  </si>
  <si>
    <t>https://ebookcentral.proquest.com/lib/seucn/detail.action?docID=5248167</t>
  </si>
  <si>
    <t>Law Express: Contract Law (Revision Guide)</t>
  </si>
  <si>
    <t>https://ebookcentral.proquest.com/lib/seucn/detail.action?docID=5248168</t>
  </si>
  <si>
    <t>Law for Business Students : UEL</t>
  </si>
  <si>
    <t>Adams, Alix</t>
  </si>
  <si>
    <t>https://ebookcentral.proquest.com/lib/seucn/detail.action?docID=5248175</t>
  </si>
  <si>
    <t>Brilliant Employability Skills</t>
  </si>
  <si>
    <t>Trought, Frances</t>
  </si>
  <si>
    <t>https://ebookcentral.proquest.com/lib/seucn/detail.action?docID=5248176</t>
  </si>
  <si>
    <t>Rules of Parenting : A personal code for bringing up happy, confident children</t>
  </si>
  <si>
    <t>https://ebookcentral.proquest.com/lib/seucn/detail.action?docID=5248190</t>
  </si>
  <si>
    <t>Psychology Express: Personality and Individual Differences (Undergraduate Revision Guide)</t>
  </si>
  <si>
    <t>Butler, Terence;Upton, Dominic;Scurlock-Evans, Laura</t>
  </si>
  <si>
    <t>https://ebookcentral.proquest.com/lib/seucn/detail.action?docID=5248195</t>
  </si>
  <si>
    <t>Natural Resource and Environmental Economics</t>
  </si>
  <si>
    <t>Perman, Roger;Ma, Yue;Common, Michael</t>
  </si>
  <si>
    <t>https://ebookcentral.proquest.com/lib/seucn/detail.action?docID=5248198</t>
  </si>
  <si>
    <t>How to Improve your Critical Thinking &amp; Reflective Skills</t>
  </si>
  <si>
    <t>https://ebookcentral.proquest.com/lib/seucn/detail.action?docID=5248200</t>
  </si>
  <si>
    <t>Medical Law and Ethics</t>
  </si>
  <si>
    <t>Bell, Leanne</t>
  </si>
  <si>
    <t>https://ebookcentral.proquest.com/lib/seucn/detail.action?docID=5248202</t>
  </si>
  <si>
    <t>How to Write Better Law Essays</t>
  </si>
  <si>
    <t>Foster, Steve</t>
  </si>
  <si>
    <t>https://ebookcentral.proquest.com/lib/seucn/detail.action?docID=5248203</t>
  </si>
  <si>
    <t>Accounting Information Systems: Global Edition</t>
  </si>
  <si>
    <t>Romney, Marshall B;Steinbart, Paul J</t>
  </si>
  <si>
    <t>https://ebookcentral.proquest.com/lib/seucn/detail.action?docID=5248207</t>
  </si>
  <si>
    <t>Cost Accounting: Global Edition</t>
  </si>
  <si>
    <t>Horngren, Charles;Datar, Srikant M.;Rajan, Madhav</t>
  </si>
  <si>
    <t>https://ebookcentral.proquest.com/lib/seucn/detail.action?docID=5248208</t>
  </si>
  <si>
    <t>Web Development and Design Foundations with HTML5: International Edition</t>
  </si>
  <si>
    <t>Felke-Morris, Terry</t>
  </si>
  <si>
    <t>https://ebookcentral.proquest.com/lib/seucn/detail.action?docID=5248211</t>
  </si>
  <si>
    <t>Consumer Behaviour</t>
  </si>
  <si>
    <t>Solomon, Michael R.;Bamossy, Gary;Askegaard, S¿ren</t>
  </si>
  <si>
    <t>https://ebookcentral.proquest.com/lib/seucn/detail.action?docID=5248215</t>
  </si>
  <si>
    <t>Contemporary Human Resource Management : Text and Cases</t>
  </si>
  <si>
    <t>Redman, Tom;Wilkinson, Adrian</t>
  </si>
  <si>
    <t>https://ebookcentral.proquest.com/lib/seucn/detail.action?docID=5248219</t>
  </si>
  <si>
    <t>Marketing Communications : A European Perspective</t>
  </si>
  <si>
    <t>De Pelsmacker, Patrick;Geuens, Maggie;Van Den Bergh, Joeri</t>
  </si>
  <si>
    <t>https://ebookcentral.proquest.com/lib/seucn/detail.action?docID=5248220</t>
  </si>
  <si>
    <t>English Legal System 14th edn : BPP</t>
  </si>
  <si>
    <t>https://ebookcentral.proquest.com/lib/seucn/detail.action?docID=5248234</t>
  </si>
  <si>
    <t>Leadership in Organizations Global Edition</t>
  </si>
  <si>
    <t>Yukl, Gary</t>
  </si>
  <si>
    <t>https://ebookcentral.proquest.com/lib/seucn/detail.action?docID=5248236</t>
  </si>
  <si>
    <t>Data Abstraction &amp; Problem Solving with C++: International Edition</t>
  </si>
  <si>
    <t>Carrano, Frank M.;Henry, Timothy</t>
  </si>
  <si>
    <t>https://ebookcentral.proquest.com/lib/seucn/detail.action?docID=5248239</t>
  </si>
  <si>
    <t>Introduction to Behavioral Research Methods: Pearson New International Edition</t>
  </si>
  <si>
    <t>Leary, Mark R.</t>
  </si>
  <si>
    <t>https://ebookcentral.proquest.com/lib/seucn/detail.action?docID=5248241</t>
  </si>
  <si>
    <t>Zimbardo, Philip G.;Johnson, Robert L.;McCann, Vivian</t>
  </si>
  <si>
    <t>https://ebookcentral.proquest.com/lib/seucn/detail.action?docID=5248244</t>
  </si>
  <si>
    <t>Practical Research: Pearson New International Edition</t>
  </si>
  <si>
    <t>Leedy, Paul D.;Ormrod, Jeanne Ellis</t>
  </si>
  <si>
    <t>https://ebookcentral.proquest.com/lib/seucn/detail.action?docID=5248245</t>
  </si>
  <si>
    <t>Classroom Assessment for Student Learning: Pearson New International Edition</t>
  </si>
  <si>
    <t>Chappuis, Jan;Stiggins, Rick J.;Chappuis, Steve</t>
  </si>
  <si>
    <t>https://ebookcentral.proquest.com/lib/seucn/detail.action?docID=5248248</t>
  </si>
  <si>
    <t>Including Students with Special Needs: Pearson New International Edition</t>
  </si>
  <si>
    <t>Friend, Marilyn;Bursuck, William D.</t>
  </si>
  <si>
    <t>https://ebookcentral.proquest.com/lib/seucn/detail.action?docID=5248250</t>
  </si>
  <si>
    <t>Perspectives on Personality: Pearson New International Edition</t>
  </si>
  <si>
    <t>Carver, Charles S.;Scheier, Michael F.</t>
  </si>
  <si>
    <t>https://ebookcentral.proquest.com/lib/seucn/detail.action?docID=5248251</t>
  </si>
  <si>
    <t>Words Their Way: Pearson New International Edition</t>
  </si>
  <si>
    <t>Invernizzi, Marcia R.;Johnston, Francine R.;Bear, Donald R.</t>
  </si>
  <si>
    <t>https://ebookcentral.proquest.com/lib/seucn/detail.action?docID=5248252</t>
  </si>
  <si>
    <t>https://ebookcentral.proquest.com/lib/seucn/detail.action?docID=5248253</t>
  </si>
  <si>
    <t>McClave, James T.;Sincich, Terry</t>
  </si>
  <si>
    <t>https://ebookcentral.proquest.com/lib/seucn/detail.action?docID=5248255</t>
  </si>
  <si>
    <t>Introduction to Modern Astrophysics, An: Pearson New International Edition</t>
  </si>
  <si>
    <t>Carroll, Bradley W.;Ostlie, Dale A.</t>
  </si>
  <si>
    <t>https://ebookcentral.proquest.com/lib/seucn/detail.action?docID=5248256</t>
  </si>
  <si>
    <t>Lannon, John M.;Gurak, Laura J</t>
  </si>
  <si>
    <t>https://ebookcentral.proquest.com/lib/seucn/detail.action?docID=5248257</t>
  </si>
  <si>
    <t>Financial Management: Pearson New International Edition</t>
  </si>
  <si>
    <t>Titman, Sheridan;Keown, Arthur J;Martin, John D.</t>
  </si>
  <si>
    <t>https://ebookcentral.proquest.com/lib/seucn/detail.action?docID=5248258</t>
  </si>
  <si>
    <t>Criminology Today: Pearson New International Edition</t>
  </si>
  <si>
    <t>https://ebookcentral.proquest.com/lib/seucn/detail.action?docID=5248261</t>
  </si>
  <si>
    <t>Social Science: Pearson New International Edition</t>
  </si>
  <si>
    <t>Hunt, Elgin F.;Colander, David C.</t>
  </si>
  <si>
    <t>https://ebookcentral.proquest.com/lib/seucn/detail.action?docID=5248262</t>
  </si>
  <si>
    <t>Essentials of Anatomy &amp; Physiology: Pearson New International Edition</t>
  </si>
  <si>
    <t>Martini, Frederic H.;Bartholomew, Edwin F.</t>
  </si>
  <si>
    <t>https://ebookcentral.proquest.com/lib/seucn/detail.action?docID=5248265</t>
  </si>
  <si>
    <t>Velasquez, Manuel G.</t>
  </si>
  <si>
    <t>https://ebookcentral.proquest.com/lib/seucn/detail.action?docID=5248266</t>
  </si>
  <si>
    <t>Language Arts: Pearson New International Edition</t>
  </si>
  <si>
    <t>https://ebookcentral.proquest.com/lib/seucn/detail.action?docID=5248268</t>
  </si>
  <si>
    <t>Fundamentals of Database Systems: Pearson New International Edition</t>
  </si>
  <si>
    <t>Elmasri, Ramez;Navathe, Shamkant</t>
  </si>
  <si>
    <t>https://ebookcentral.proquest.com/lib/seucn/detail.action?docID=5248269</t>
  </si>
  <si>
    <t>First Course in Abstract Algebra, A: Pearson New International Edition</t>
  </si>
  <si>
    <t>Fraleigh, John B.</t>
  </si>
  <si>
    <t>https://ebookcentral.proquest.com/lib/seucn/detail.action?docID=5248273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</si>
</sst>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65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14" fontId="20" fillId="0" borderId="0" xfId="0" applyNumberFormat="1" applyFont="1">
      <alignment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83"/>
  <sheetViews>
    <sheetView tabSelected="1" workbookViewId="0">
      <selection activeCell="C961" sqref="C961"/>
    </sheetView>
  </sheetViews>
  <sheetFormatPr defaultRowHeight="13.5"/>
  <cols>
    <col min="1" max="1" width="9.375" style="1" bestFit="1" customWidth="1"/>
    <col min="2" max="2" width="91" style="1" customWidth="1"/>
    <col min="3" max="3" width="18.75" style="1" customWidth="1"/>
    <col min="4" max="4" width="15.375" style="1" customWidth="1"/>
    <col min="5" max="5" width="9" style="1"/>
    <col min="6" max="6" width="20.875" style="1" customWidth="1"/>
    <col min="7" max="7" width="11.75" style="1" bestFit="1" customWidth="1"/>
    <col min="8" max="8" width="11.625" style="1" bestFit="1" customWidth="1"/>
    <col min="9" max="9" width="9" style="1"/>
    <col min="10" max="10" width="9.375" style="1" bestFit="1" customWidth="1"/>
    <col min="11" max="14" width="9" style="1"/>
    <col min="15" max="15" width="9.375" style="1" bestFit="1" customWidth="1"/>
    <col min="16" max="24" width="9" style="1"/>
    <col min="25" max="25" width="9.125" style="1" bestFit="1" customWidth="1"/>
    <col min="26" max="26" width="9.375" style="1" bestFit="1" customWidth="1"/>
    <col min="27" max="28" width="9" style="1"/>
    <col min="29" max="29" width="9.625" style="1" bestFit="1" customWidth="1"/>
    <col min="30" max="30" width="9.375" style="1" bestFit="1" customWidth="1"/>
    <col min="31" max="16384" width="9" style="1"/>
  </cols>
  <sheetData>
    <row r="1" spans="1:3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</row>
    <row r="2" spans="1:38" s="2" customFormat="1">
      <c r="A2" s="2">
        <v>4789156</v>
      </c>
      <c r="B2" s="2" t="s">
        <v>38</v>
      </c>
      <c r="C2" s="2" t="str">
        <f>"9781292026053"</f>
        <v>9781292026053</v>
      </c>
      <c r="D2" s="2" t="str">
        <f>"9781292038469"</f>
        <v>9781292038469</v>
      </c>
      <c r="E2" s="2" t="s">
        <v>39</v>
      </c>
      <c r="F2" s="2" t="s">
        <v>40</v>
      </c>
      <c r="G2" s="3">
        <v>41481</v>
      </c>
      <c r="H2" s="3">
        <v>42773</v>
      </c>
      <c r="I2" s="2" t="s">
        <v>41</v>
      </c>
      <c r="J2" s="2">
        <v>3</v>
      </c>
      <c r="L2" s="2" t="s">
        <v>42</v>
      </c>
      <c r="M2" s="2" t="s">
        <v>43</v>
      </c>
      <c r="N2" s="2" t="s">
        <v>44</v>
      </c>
      <c r="O2" s="2">
        <v>624.17999999999995</v>
      </c>
      <c r="P2" s="2" t="s">
        <v>45</v>
      </c>
      <c r="Q2" s="2" t="s">
        <v>46</v>
      </c>
      <c r="R2" s="2" t="s">
        <v>47</v>
      </c>
      <c r="S2" s="2" t="s">
        <v>47</v>
      </c>
      <c r="T2" s="2" t="s">
        <v>48</v>
      </c>
      <c r="U2" s="2" t="s">
        <v>47</v>
      </c>
      <c r="V2" s="2" t="s">
        <v>47</v>
      </c>
      <c r="W2" s="2" t="s">
        <v>47</v>
      </c>
      <c r="Z2" s="2">
        <v>40.49</v>
      </c>
      <c r="AB2" s="2" t="s">
        <v>48</v>
      </c>
      <c r="AC2" s="2">
        <v>11338907</v>
      </c>
      <c r="AD2" s="2">
        <v>527354</v>
      </c>
      <c r="AF2" s="2" t="s">
        <v>47</v>
      </c>
      <c r="AG2" s="2" t="s">
        <v>47</v>
      </c>
      <c r="AH2" s="2" t="s">
        <v>49</v>
      </c>
      <c r="AI2" s="2" t="s">
        <v>47</v>
      </c>
      <c r="AK2" s="2" t="s">
        <v>48</v>
      </c>
      <c r="AL2" s="2" t="s">
        <v>50</v>
      </c>
    </row>
    <row r="3" spans="1:38">
      <c r="A3" s="1">
        <v>5133209</v>
      </c>
      <c r="B3" s="1" t="s">
        <v>51</v>
      </c>
      <c r="C3" s="1" t="str">
        <f>"9781408296011"</f>
        <v>9781408296011</v>
      </c>
      <c r="D3" s="1" t="str">
        <f>"9781408296080"</f>
        <v>9781408296080</v>
      </c>
      <c r="E3" s="1" t="s">
        <v>52</v>
      </c>
      <c r="F3" s="1" t="s">
        <v>40</v>
      </c>
      <c r="G3" s="3">
        <v>40909</v>
      </c>
      <c r="H3" s="3">
        <v>1</v>
      </c>
      <c r="I3" s="1" t="s">
        <v>41</v>
      </c>
      <c r="J3" s="1">
        <v>3</v>
      </c>
      <c r="L3" s="1" t="s">
        <v>53</v>
      </c>
      <c r="M3" s="1" t="s">
        <v>54</v>
      </c>
      <c r="O3" s="1">
        <v>371.10239999999999</v>
      </c>
      <c r="Q3" s="1" t="s">
        <v>46</v>
      </c>
      <c r="R3" s="1" t="s">
        <v>47</v>
      </c>
      <c r="S3" s="1" t="s">
        <v>47</v>
      </c>
      <c r="T3" s="1" t="s">
        <v>48</v>
      </c>
      <c r="U3" s="1" t="s">
        <v>47</v>
      </c>
      <c r="V3" s="1" t="s">
        <v>47</v>
      </c>
      <c r="W3" s="1" t="s">
        <v>47</v>
      </c>
      <c r="Z3" s="1">
        <v>0</v>
      </c>
      <c r="AB3" s="1" t="s">
        <v>47</v>
      </c>
      <c r="AD3" s="1">
        <v>385408</v>
      </c>
      <c r="AF3" s="1" t="s">
        <v>47</v>
      </c>
      <c r="AG3" s="1" t="s">
        <v>47</v>
      </c>
      <c r="AH3" s="1" t="s">
        <v>49</v>
      </c>
      <c r="AI3" s="1" t="s">
        <v>47</v>
      </c>
      <c r="AK3" s="1" t="s">
        <v>48</v>
      </c>
      <c r="AL3" s="1" t="s">
        <v>55</v>
      </c>
    </row>
    <row r="4" spans="1:38">
      <c r="A4" s="1">
        <v>5136200</v>
      </c>
      <c r="B4" s="1" t="s">
        <v>56</v>
      </c>
      <c r="C4" s="1" t="str">
        <f>""</f>
        <v/>
      </c>
      <c r="D4" s="1" t="str">
        <f>"9780273746607"</f>
        <v>9780273746607</v>
      </c>
      <c r="E4" s="1" t="s">
        <v>52</v>
      </c>
      <c r="F4" s="1" t="s">
        <v>57</v>
      </c>
      <c r="G4" s="3">
        <v>41486</v>
      </c>
      <c r="H4" s="3">
        <v>1</v>
      </c>
      <c r="I4" s="1" t="s">
        <v>41</v>
      </c>
      <c r="J4" s="1">
        <v>1</v>
      </c>
      <c r="L4" s="1" t="s">
        <v>58</v>
      </c>
      <c r="M4" s="1" t="s">
        <v>59</v>
      </c>
      <c r="Q4" s="1" t="s">
        <v>46</v>
      </c>
      <c r="R4" s="1" t="s">
        <v>47</v>
      </c>
      <c r="S4" s="1" t="s">
        <v>47</v>
      </c>
      <c r="T4" s="1" t="s">
        <v>48</v>
      </c>
      <c r="U4" s="1" t="s">
        <v>47</v>
      </c>
      <c r="V4" s="1" t="s">
        <v>47</v>
      </c>
      <c r="W4" s="1" t="s">
        <v>47</v>
      </c>
      <c r="Z4" s="1">
        <v>0</v>
      </c>
      <c r="AB4" s="1" t="s">
        <v>47</v>
      </c>
      <c r="AD4" s="1">
        <v>327555</v>
      </c>
      <c r="AF4" s="1" t="s">
        <v>47</v>
      </c>
      <c r="AG4" s="1" t="s">
        <v>47</v>
      </c>
      <c r="AH4" s="1" t="s">
        <v>49</v>
      </c>
      <c r="AI4" s="1" t="s">
        <v>47</v>
      </c>
      <c r="AK4" s="1" t="s">
        <v>48</v>
      </c>
      <c r="AL4" s="1" t="s">
        <v>60</v>
      </c>
    </row>
    <row r="5" spans="1:38">
      <c r="A5" s="1">
        <v>5136208</v>
      </c>
      <c r="B5" s="1" t="s">
        <v>61</v>
      </c>
      <c r="C5" s="1" t="str">
        <f>"9780273772255"</f>
        <v>9780273772255</v>
      </c>
      <c r="D5" s="1" t="str">
        <f>"9780273772330"</f>
        <v>9780273772330</v>
      </c>
      <c r="E5" s="1" t="s">
        <v>52</v>
      </c>
      <c r="F5" s="1" t="s">
        <v>62</v>
      </c>
      <c r="G5" s="3">
        <v>41151</v>
      </c>
      <c r="H5" s="3">
        <v>1</v>
      </c>
      <c r="I5" s="1" t="s">
        <v>41</v>
      </c>
      <c r="J5" s="1">
        <v>3</v>
      </c>
      <c r="L5" s="1" t="s">
        <v>63</v>
      </c>
      <c r="M5" s="1" t="s">
        <v>59</v>
      </c>
      <c r="N5" s="1" t="s">
        <v>64</v>
      </c>
      <c r="O5" s="1">
        <v>658.154</v>
      </c>
      <c r="Q5" s="1" t="s">
        <v>46</v>
      </c>
      <c r="R5" s="1" t="s">
        <v>47</v>
      </c>
      <c r="S5" s="1" t="s">
        <v>47</v>
      </c>
      <c r="T5" s="1" t="s">
        <v>48</v>
      </c>
      <c r="U5" s="1" t="s">
        <v>47</v>
      </c>
      <c r="V5" s="1" t="s">
        <v>47</v>
      </c>
      <c r="W5" s="1" t="s">
        <v>47</v>
      </c>
      <c r="Z5" s="1">
        <v>0</v>
      </c>
      <c r="AB5" s="1" t="s">
        <v>47</v>
      </c>
      <c r="AD5" s="1">
        <v>462991</v>
      </c>
      <c r="AF5" s="1" t="s">
        <v>47</v>
      </c>
      <c r="AG5" s="1" t="s">
        <v>47</v>
      </c>
      <c r="AH5" s="1" t="s">
        <v>49</v>
      </c>
      <c r="AI5" s="1" t="s">
        <v>47</v>
      </c>
      <c r="AK5" s="1" t="s">
        <v>48</v>
      </c>
      <c r="AL5" s="1" t="s">
        <v>65</v>
      </c>
    </row>
    <row r="6" spans="1:38">
      <c r="A6" s="1">
        <v>5136209</v>
      </c>
      <c r="B6" s="1" t="s">
        <v>66</v>
      </c>
      <c r="C6" s="1" t="str">
        <f>"9780273732815"</f>
        <v>9780273732815</v>
      </c>
      <c r="D6" s="1" t="str">
        <f>"9780273732822"</f>
        <v>9780273732822</v>
      </c>
      <c r="E6" s="1" t="s">
        <v>52</v>
      </c>
      <c r="F6" s="1" t="s">
        <v>67</v>
      </c>
      <c r="G6" s="3">
        <v>40849</v>
      </c>
      <c r="H6" s="3">
        <v>1</v>
      </c>
      <c r="I6" s="1" t="s">
        <v>41</v>
      </c>
      <c r="J6" s="1">
        <v>1</v>
      </c>
      <c r="L6" s="1" t="s">
        <v>63</v>
      </c>
      <c r="M6" s="1" t="s">
        <v>59</v>
      </c>
      <c r="N6" s="1" t="s">
        <v>68</v>
      </c>
      <c r="O6" s="1">
        <v>658.15243999999996</v>
      </c>
      <c r="P6" s="1" t="s">
        <v>69</v>
      </c>
      <c r="Q6" s="1" t="s">
        <v>46</v>
      </c>
      <c r="R6" s="1" t="s">
        <v>47</v>
      </c>
      <c r="S6" s="1" t="s">
        <v>47</v>
      </c>
      <c r="T6" s="1" t="s">
        <v>48</v>
      </c>
      <c r="U6" s="1" t="s">
        <v>47</v>
      </c>
      <c r="V6" s="1" t="s">
        <v>47</v>
      </c>
      <c r="W6" s="1" t="s">
        <v>47</v>
      </c>
      <c r="Z6" s="1">
        <v>0</v>
      </c>
      <c r="AB6" s="1" t="s">
        <v>47</v>
      </c>
      <c r="AD6" s="1">
        <v>463070</v>
      </c>
      <c r="AF6" s="1" t="s">
        <v>47</v>
      </c>
      <c r="AG6" s="1" t="s">
        <v>47</v>
      </c>
      <c r="AH6" s="1" t="s">
        <v>49</v>
      </c>
      <c r="AI6" s="1" t="s">
        <v>47</v>
      </c>
      <c r="AK6" s="1" t="s">
        <v>48</v>
      </c>
      <c r="AL6" s="1" t="s">
        <v>70</v>
      </c>
    </row>
    <row r="7" spans="1:38">
      <c r="A7" s="1">
        <v>5136214</v>
      </c>
      <c r="B7" s="1" t="s">
        <v>71</v>
      </c>
      <c r="C7" s="1" t="str">
        <f>"9780273757986"</f>
        <v>9780273757986</v>
      </c>
      <c r="D7" s="1" t="str">
        <f>"9780273758488"</f>
        <v>9780273758488</v>
      </c>
      <c r="E7" s="1" t="s">
        <v>52</v>
      </c>
      <c r="F7" s="1" t="s">
        <v>67</v>
      </c>
      <c r="G7" s="3">
        <v>41480</v>
      </c>
      <c r="H7" s="3">
        <v>1</v>
      </c>
      <c r="I7" s="1" t="s">
        <v>41</v>
      </c>
      <c r="J7" s="1">
        <v>1</v>
      </c>
      <c r="L7" s="1" t="s">
        <v>72</v>
      </c>
      <c r="M7" s="1" t="s">
        <v>59</v>
      </c>
      <c r="N7" s="1" t="s">
        <v>73</v>
      </c>
      <c r="O7" s="1" t="s">
        <v>74</v>
      </c>
      <c r="Q7" s="1" t="s">
        <v>46</v>
      </c>
      <c r="R7" s="1" t="s">
        <v>47</v>
      </c>
      <c r="S7" s="1" t="s">
        <v>47</v>
      </c>
      <c r="T7" s="1" t="s">
        <v>48</v>
      </c>
      <c r="U7" s="1" t="s">
        <v>47</v>
      </c>
      <c r="V7" s="1" t="s">
        <v>47</v>
      </c>
      <c r="W7" s="1" t="s">
        <v>47</v>
      </c>
      <c r="Z7" s="1">
        <v>0</v>
      </c>
      <c r="AB7" s="1" t="s">
        <v>47</v>
      </c>
      <c r="AD7" s="1">
        <v>463064</v>
      </c>
      <c r="AF7" s="1" t="s">
        <v>47</v>
      </c>
      <c r="AG7" s="1" t="s">
        <v>47</v>
      </c>
      <c r="AH7" s="1" t="s">
        <v>49</v>
      </c>
      <c r="AI7" s="1" t="s">
        <v>47</v>
      </c>
      <c r="AK7" s="1" t="s">
        <v>48</v>
      </c>
      <c r="AL7" s="1" t="s">
        <v>75</v>
      </c>
    </row>
    <row r="8" spans="1:38">
      <c r="A8" s="1">
        <v>5136219</v>
      </c>
      <c r="B8" s="1" t="s">
        <v>76</v>
      </c>
      <c r="C8" s="1" t="str">
        <f>""</f>
        <v/>
      </c>
      <c r="D8" s="1" t="str">
        <f>"9780273779087"</f>
        <v>9780273779087</v>
      </c>
      <c r="E8" s="1" t="s">
        <v>52</v>
      </c>
      <c r="F8" s="1" t="s">
        <v>40</v>
      </c>
      <c r="G8" s="3">
        <v>41275</v>
      </c>
      <c r="H8" s="3">
        <v>1</v>
      </c>
      <c r="I8" s="1" t="s">
        <v>41</v>
      </c>
      <c r="J8" s="1">
        <v>1</v>
      </c>
      <c r="L8" s="1" t="s">
        <v>77</v>
      </c>
      <c r="M8" s="1" t="s">
        <v>59</v>
      </c>
      <c r="O8" s="1">
        <v>658.11</v>
      </c>
      <c r="P8" s="1" t="s">
        <v>78</v>
      </c>
      <c r="Q8" s="1" t="s">
        <v>46</v>
      </c>
      <c r="R8" s="1" t="s">
        <v>47</v>
      </c>
      <c r="S8" s="1" t="s">
        <v>47</v>
      </c>
      <c r="T8" s="1" t="s">
        <v>48</v>
      </c>
      <c r="U8" s="1" t="s">
        <v>47</v>
      </c>
      <c r="V8" s="1" t="s">
        <v>47</v>
      </c>
      <c r="W8" s="1" t="s">
        <v>47</v>
      </c>
      <c r="Z8" s="1">
        <v>0</v>
      </c>
      <c r="AB8" s="1" t="s">
        <v>47</v>
      </c>
      <c r="AD8" s="1">
        <v>459551</v>
      </c>
      <c r="AF8" s="1" t="s">
        <v>47</v>
      </c>
      <c r="AG8" s="1" t="s">
        <v>47</v>
      </c>
      <c r="AH8" s="1" t="s">
        <v>49</v>
      </c>
      <c r="AI8" s="1" t="s">
        <v>47</v>
      </c>
      <c r="AK8" s="1" t="s">
        <v>48</v>
      </c>
      <c r="AL8" s="1" t="s">
        <v>79</v>
      </c>
    </row>
    <row r="9" spans="1:38">
      <c r="A9" s="1">
        <v>5136220</v>
      </c>
      <c r="B9" s="1" t="s">
        <v>80</v>
      </c>
      <c r="C9" s="1" t="str">
        <f>""</f>
        <v/>
      </c>
      <c r="D9" s="1" t="str">
        <f>"9780273730415"</f>
        <v>9780273730415</v>
      </c>
      <c r="E9" s="1" t="s">
        <v>52</v>
      </c>
      <c r="F9" s="1" t="s">
        <v>67</v>
      </c>
      <c r="G9" s="3">
        <v>41480</v>
      </c>
      <c r="H9" s="3">
        <v>1</v>
      </c>
      <c r="I9" s="1" t="s">
        <v>41</v>
      </c>
      <c r="J9" s="1">
        <v>2</v>
      </c>
      <c r="L9" s="1" t="s">
        <v>81</v>
      </c>
      <c r="M9" s="1" t="s">
        <v>59</v>
      </c>
      <c r="Q9" s="1" t="s">
        <v>46</v>
      </c>
      <c r="R9" s="1" t="s">
        <v>47</v>
      </c>
      <c r="S9" s="1" t="s">
        <v>47</v>
      </c>
      <c r="T9" s="1" t="s">
        <v>48</v>
      </c>
      <c r="U9" s="1" t="s">
        <v>47</v>
      </c>
      <c r="V9" s="1" t="s">
        <v>47</v>
      </c>
      <c r="W9" s="1" t="s">
        <v>47</v>
      </c>
      <c r="Z9" s="1">
        <v>0</v>
      </c>
      <c r="AB9" s="1" t="s">
        <v>47</v>
      </c>
      <c r="AD9" s="1">
        <v>298350</v>
      </c>
      <c r="AF9" s="1" t="s">
        <v>47</v>
      </c>
      <c r="AG9" s="1" t="s">
        <v>47</v>
      </c>
      <c r="AH9" s="1" t="s">
        <v>49</v>
      </c>
      <c r="AI9" s="1" t="s">
        <v>47</v>
      </c>
      <c r="AK9" s="1" t="s">
        <v>48</v>
      </c>
      <c r="AL9" s="1" t="s">
        <v>82</v>
      </c>
    </row>
    <row r="10" spans="1:38">
      <c r="A10" s="1">
        <v>5136225</v>
      </c>
      <c r="B10" s="1" t="s">
        <v>83</v>
      </c>
      <c r="C10" s="1" t="str">
        <f>""</f>
        <v/>
      </c>
      <c r="D10" s="1" t="str">
        <f>"9780273763079"</f>
        <v>9780273763079</v>
      </c>
      <c r="E10" s="1" t="s">
        <v>52</v>
      </c>
      <c r="F10" s="1" t="s">
        <v>84</v>
      </c>
      <c r="G10" s="3">
        <v>41486</v>
      </c>
      <c r="H10" s="3">
        <v>1</v>
      </c>
      <c r="I10" s="1" t="s">
        <v>41</v>
      </c>
      <c r="J10" s="1">
        <v>1</v>
      </c>
      <c r="L10" s="1" t="s">
        <v>85</v>
      </c>
      <c r="M10" s="1" t="s">
        <v>59</v>
      </c>
      <c r="Q10" s="1" t="s">
        <v>46</v>
      </c>
      <c r="R10" s="1" t="s">
        <v>47</v>
      </c>
      <c r="S10" s="1" t="s">
        <v>47</v>
      </c>
      <c r="T10" s="1" t="s">
        <v>48</v>
      </c>
      <c r="U10" s="1" t="s">
        <v>47</v>
      </c>
      <c r="V10" s="1" t="s">
        <v>47</v>
      </c>
      <c r="W10" s="1" t="s">
        <v>47</v>
      </c>
      <c r="Z10" s="1">
        <v>0</v>
      </c>
      <c r="AB10" s="1" t="s">
        <v>47</v>
      </c>
      <c r="AD10" s="1">
        <v>463054</v>
      </c>
      <c r="AF10" s="1" t="s">
        <v>47</v>
      </c>
      <c r="AG10" s="1" t="s">
        <v>47</v>
      </c>
      <c r="AH10" s="1" t="s">
        <v>49</v>
      </c>
      <c r="AI10" s="1" t="s">
        <v>47</v>
      </c>
      <c r="AK10" s="1" t="s">
        <v>48</v>
      </c>
      <c r="AL10" s="1" t="s">
        <v>86</v>
      </c>
    </row>
    <row r="11" spans="1:38">
      <c r="A11" s="1">
        <v>5136236</v>
      </c>
      <c r="B11" s="1" t="s">
        <v>87</v>
      </c>
      <c r="C11" s="1" t="str">
        <f>""</f>
        <v/>
      </c>
      <c r="D11" s="1" t="str">
        <f>"9780273762911"</f>
        <v>9780273762911</v>
      </c>
      <c r="E11" s="1" t="s">
        <v>52</v>
      </c>
      <c r="F11" s="1" t="s">
        <v>57</v>
      </c>
      <c r="G11" s="3">
        <v>41480</v>
      </c>
      <c r="H11" s="3">
        <v>1</v>
      </c>
      <c r="I11" s="1" t="s">
        <v>41</v>
      </c>
      <c r="J11" s="1">
        <v>1</v>
      </c>
      <c r="L11" s="1" t="s">
        <v>88</v>
      </c>
      <c r="M11" s="1" t="s">
        <v>59</v>
      </c>
      <c r="Q11" s="1" t="s">
        <v>46</v>
      </c>
      <c r="R11" s="1" t="s">
        <v>47</v>
      </c>
      <c r="S11" s="1" t="s">
        <v>47</v>
      </c>
      <c r="T11" s="1" t="s">
        <v>48</v>
      </c>
      <c r="U11" s="1" t="s">
        <v>47</v>
      </c>
      <c r="V11" s="1" t="s">
        <v>47</v>
      </c>
      <c r="W11" s="1" t="s">
        <v>47</v>
      </c>
      <c r="Z11" s="1">
        <v>0</v>
      </c>
      <c r="AB11" s="1" t="s">
        <v>47</v>
      </c>
      <c r="AD11" s="1">
        <v>463056</v>
      </c>
      <c r="AF11" s="1" t="s">
        <v>47</v>
      </c>
      <c r="AG11" s="1" t="s">
        <v>47</v>
      </c>
      <c r="AH11" s="1" t="s">
        <v>49</v>
      </c>
      <c r="AI11" s="1" t="s">
        <v>47</v>
      </c>
      <c r="AK11" s="1" t="s">
        <v>48</v>
      </c>
      <c r="AL11" s="1" t="s">
        <v>89</v>
      </c>
    </row>
    <row r="12" spans="1:38">
      <c r="A12" s="1">
        <v>5136252</v>
      </c>
      <c r="B12" s="1" t="s">
        <v>90</v>
      </c>
      <c r="C12" s="1" t="str">
        <f>""</f>
        <v/>
      </c>
      <c r="D12" s="1" t="str">
        <f>"9780273759065"</f>
        <v>9780273759065</v>
      </c>
      <c r="E12" s="1" t="s">
        <v>52</v>
      </c>
      <c r="F12" s="1" t="s">
        <v>62</v>
      </c>
      <c r="G12" s="3">
        <v>41480</v>
      </c>
      <c r="H12" s="3">
        <v>1</v>
      </c>
      <c r="I12" s="1" t="s">
        <v>41</v>
      </c>
      <c r="J12" s="1">
        <v>1</v>
      </c>
      <c r="L12" s="1" t="s">
        <v>91</v>
      </c>
      <c r="M12" s="1" t="s">
        <v>59</v>
      </c>
      <c r="Q12" s="1" t="s">
        <v>46</v>
      </c>
      <c r="R12" s="1" t="s">
        <v>47</v>
      </c>
      <c r="S12" s="1" t="s">
        <v>47</v>
      </c>
      <c r="T12" s="1" t="s">
        <v>48</v>
      </c>
      <c r="U12" s="1" t="s">
        <v>47</v>
      </c>
      <c r="V12" s="1" t="s">
        <v>47</v>
      </c>
      <c r="W12" s="1" t="s">
        <v>47</v>
      </c>
      <c r="Z12" s="1">
        <v>0</v>
      </c>
      <c r="AB12" s="1" t="s">
        <v>47</v>
      </c>
      <c r="AD12" s="1">
        <v>399611</v>
      </c>
      <c r="AF12" s="1" t="s">
        <v>47</v>
      </c>
      <c r="AG12" s="1" t="s">
        <v>47</v>
      </c>
      <c r="AH12" s="1" t="s">
        <v>49</v>
      </c>
      <c r="AI12" s="1" t="s">
        <v>47</v>
      </c>
      <c r="AK12" s="1" t="s">
        <v>48</v>
      </c>
      <c r="AL12" s="1" t="s">
        <v>92</v>
      </c>
    </row>
    <row r="13" spans="1:38">
      <c r="A13" s="1">
        <v>5136253</v>
      </c>
      <c r="B13" s="1" t="s">
        <v>93</v>
      </c>
      <c r="C13" s="1" t="str">
        <f>"9780273768661"</f>
        <v>9780273768661</v>
      </c>
      <c r="D13" s="1" t="str">
        <f>"9780273769927"</f>
        <v>9780273769927</v>
      </c>
      <c r="E13" s="1" t="s">
        <v>52</v>
      </c>
      <c r="F13" s="1" t="s">
        <v>40</v>
      </c>
      <c r="G13" s="3">
        <v>41275</v>
      </c>
      <c r="H13" s="3">
        <v>1</v>
      </c>
      <c r="I13" s="1" t="s">
        <v>41</v>
      </c>
      <c r="J13" s="1">
        <v>2</v>
      </c>
      <c r="L13" s="1" t="s">
        <v>94</v>
      </c>
      <c r="M13" s="1" t="s">
        <v>59</v>
      </c>
      <c r="N13" s="1" t="s">
        <v>95</v>
      </c>
      <c r="O13" s="1">
        <v>658.11</v>
      </c>
      <c r="P13" s="1" t="s">
        <v>96</v>
      </c>
      <c r="Q13" s="1" t="s">
        <v>46</v>
      </c>
      <c r="R13" s="1" t="s">
        <v>47</v>
      </c>
      <c r="S13" s="1" t="s">
        <v>47</v>
      </c>
      <c r="T13" s="1" t="s">
        <v>48</v>
      </c>
      <c r="U13" s="1" t="s">
        <v>47</v>
      </c>
      <c r="V13" s="1" t="s">
        <v>47</v>
      </c>
      <c r="W13" s="1" t="s">
        <v>47</v>
      </c>
      <c r="Z13" s="1">
        <v>0</v>
      </c>
      <c r="AB13" s="1" t="s">
        <v>47</v>
      </c>
      <c r="AD13" s="1">
        <v>459547</v>
      </c>
      <c r="AF13" s="1" t="s">
        <v>47</v>
      </c>
      <c r="AG13" s="1" t="s">
        <v>47</v>
      </c>
      <c r="AH13" s="1" t="s">
        <v>49</v>
      </c>
      <c r="AI13" s="1" t="s">
        <v>47</v>
      </c>
      <c r="AK13" s="1" t="s">
        <v>48</v>
      </c>
      <c r="AL13" s="1" t="s">
        <v>97</v>
      </c>
    </row>
    <row r="14" spans="1:38">
      <c r="A14" s="1">
        <v>5136254</v>
      </c>
      <c r="B14" s="1" t="s">
        <v>98</v>
      </c>
      <c r="C14" s="1" t="str">
        <f>"9780273784364"</f>
        <v>9780273784364</v>
      </c>
      <c r="D14" s="1" t="str">
        <f>"9780273788829"</f>
        <v>9780273788829</v>
      </c>
      <c r="E14" s="1" t="s">
        <v>52</v>
      </c>
      <c r="F14" s="1" t="s">
        <v>40</v>
      </c>
      <c r="G14" s="3">
        <v>41305</v>
      </c>
      <c r="H14" s="3">
        <v>1</v>
      </c>
      <c r="I14" s="1" t="s">
        <v>41</v>
      </c>
      <c r="J14" s="1">
        <v>1</v>
      </c>
      <c r="L14" s="1" t="s">
        <v>99</v>
      </c>
      <c r="M14" s="1" t="s">
        <v>100</v>
      </c>
      <c r="N14" s="1" t="s">
        <v>101</v>
      </c>
      <c r="O14" s="1">
        <v>158</v>
      </c>
      <c r="Q14" s="1" t="s">
        <v>46</v>
      </c>
      <c r="R14" s="1" t="s">
        <v>47</v>
      </c>
      <c r="S14" s="1" t="s">
        <v>47</v>
      </c>
      <c r="T14" s="1" t="s">
        <v>48</v>
      </c>
      <c r="U14" s="1" t="s">
        <v>47</v>
      </c>
      <c r="V14" s="1" t="s">
        <v>47</v>
      </c>
      <c r="W14" s="1" t="s">
        <v>47</v>
      </c>
      <c r="Z14" s="1">
        <v>0</v>
      </c>
      <c r="AB14" s="1" t="s">
        <v>47</v>
      </c>
      <c r="AD14" s="1">
        <v>503064</v>
      </c>
      <c r="AF14" s="1" t="s">
        <v>47</v>
      </c>
      <c r="AG14" s="1" t="s">
        <v>47</v>
      </c>
      <c r="AH14" s="1" t="s">
        <v>49</v>
      </c>
      <c r="AI14" s="1" t="s">
        <v>47</v>
      </c>
      <c r="AK14" s="1" t="s">
        <v>48</v>
      </c>
      <c r="AL14" s="1" t="s">
        <v>102</v>
      </c>
    </row>
    <row r="15" spans="1:38">
      <c r="A15" s="1">
        <v>5136256</v>
      </c>
      <c r="B15" s="1" t="s">
        <v>103</v>
      </c>
      <c r="C15" s="1" t="str">
        <f>""</f>
        <v/>
      </c>
      <c r="D15" s="1" t="str">
        <f>"9780273750680"</f>
        <v>9780273750680</v>
      </c>
      <c r="E15" s="1" t="s">
        <v>52</v>
      </c>
      <c r="F15" s="1" t="s">
        <v>84</v>
      </c>
      <c r="G15" s="3">
        <v>41486</v>
      </c>
      <c r="H15" s="3">
        <v>1</v>
      </c>
      <c r="I15" s="1" t="s">
        <v>41</v>
      </c>
      <c r="J15" s="1">
        <v>1</v>
      </c>
      <c r="L15" s="1" t="s">
        <v>104</v>
      </c>
      <c r="M15" s="1" t="s">
        <v>59</v>
      </c>
      <c r="Q15" s="1" t="s">
        <v>46</v>
      </c>
      <c r="R15" s="1" t="s">
        <v>47</v>
      </c>
      <c r="S15" s="1" t="s">
        <v>47</v>
      </c>
      <c r="T15" s="1" t="s">
        <v>48</v>
      </c>
      <c r="U15" s="1" t="s">
        <v>47</v>
      </c>
      <c r="V15" s="1" t="s">
        <v>47</v>
      </c>
      <c r="W15" s="1" t="s">
        <v>47</v>
      </c>
      <c r="Z15" s="1">
        <v>0</v>
      </c>
      <c r="AB15" s="1" t="s">
        <v>47</v>
      </c>
      <c r="AD15" s="1">
        <v>463041</v>
      </c>
      <c r="AF15" s="1" t="s">
        <v>47</v>
      </c>
      <c r="AG15" s="1" t="s">
        <v>47</v>
      </c>
      <c r="AH15" s="1" t="s">
        <v>49</v>
      </c>
      <c r="AI15" s="1" t="s">
        <v>47</v>
      </c>
      <c r="AK15" s="1" t="s">
        <v>48</v>
      </c>
      <c r="AL15" s="1" t="s">
        <v>105</v>
      </c>
    </row>
    <row r="16" spans="1:38">
      <c r="A16" s="1">
        <v>5136257</v>
      </c>
      <c r="B16" s="1" t="s">
        <v>106</v>
      </c>
      <c r="C16" s="1" t="str">
        <f>""</f>
        <v/>
      </c>
      <c r="D16" s="1" t="str">
        <f>"9780273755685"</f>
        <v>9780273755685</v>
      </c>
      <c r="E16" s="1" t="s">
        <v>52</v>
      </c>
      <c r="F16" s="1" t="s">
        <v>67</v>
      </c>
      <c r="G16" s="3">
        <v>41486</v>
      </c>
      <c r="H16" s="3">
        <v>1</v>
      </c>
      <c r="I16" s="1" t="s">
        <v>41</v>
      </c>
      <c r="J16" s="1">
        <v>1</v>
      </c>
      <c r="L16" s="1" t="s">
        <v>107</v>
      </c>
      <c r="M16" s="1" t="s">
        <v>59</v>
      </c>
      <c r="Q16" s="1" t="s">
        <v>46</v>
      </c>
      <c r="R16" s="1" t="s">
        <v>47</v>
      </c>
      <c r="S16" s="1" t="s">
        <v>47</v>
      </c>
      <c r="T16" s="1" t="s">
        <v>48</v>
      </c>
      <c r="U16" s="1" t="s">
        <v>47</v>
      </c>
      <c r="V16" s="1" t="s">
        <v>47</v>
      </c>
      <c r="W16" s="1" t="s">
        <v>47</v>
      </c>
      <c r="Z16" s="1">
        <v>0</v>
      </c>
      <c r="AB16" s="1" t="s">
        <v>47</v>
      </c>
      <c r="AD16" s="1">
        <v>404658</v>
      </c>
      <c r="AF16" s="1" t="s">
        <v>47</v>
      </c>
      <c r="AG16" s="1" t="s">
        <v>47</v>
      </c>
      <c r="AH16" s="1" t="s">
        <v>49</v>
      </c>
      <c r="AI16" s="1" t="s">
        <v>47</v>
      </c>
      <c r="AK16" s="1" t="s">
        <v>48</v>
      </c>
      <c r="AL16" s="1" t="s">
        <v>108</v>
      </c>
    </row>
    <row r="17" spans="1:38" s="2" customFormat="1">
      <c r="A17" s="2">
        <v>5136258</v>
      </c>
      <c r="B17" s="2" t="s">
        <v>109</v>
      </c>
      <c r="C17" s="2" t="str">
        <f>""</f>
        <v/>
      </c>
      <c r="D17" s="2" t="str">
        <f>"9780273771173"</f>
        <v>9780273771173</v>
      </c>
      <c r="E17" s="2" t="s">
        <v>52</v>
      </c>
      <c r="F17" s="2" t="s">
        <v>110</v>
      </c>
      <c r="G17" s="3">
        <v>41480</v>
      </c>
      <c r="H17" s="3">
        <v>1</v>
      </c>
      <c r="I17" s="2" t="s">
        <v>41</v>
      </c>
      <c r="J17" s="2">
        <v>1</v>
      </c>
      <c r="L17" s="2" t="s">
        <v>111</v>
      </c>
      <c r="M17" s="2" t="s">
        <v>59</v>
      </c>
      <c r="Q17" s="2" t="s">
        <v>46</v>
      </c>
      <c r="R17" s="2" t="s">
        <v>47</v>
      </c>
      <c r="S17" s="2" t="s">
        <v>47</v>
      </c>
      <c r="T17" s="2" t="s">
        <v>48</v>
      </c>
      <c r="U17" s="2" t="s">
        <v>47</v>
      </c>
      <c r="V17" s="2" t="s">
        <v>47</v>
      </c>
      <c r="W17" s="2" t="s">
        <v>47</v>
      </c>
      <c r="Z17" s="2">
        <v>0</v>
      </c>
      <c r="AB17" s="2" t="s">
        <v>47</v>
      </c>
      <c r="AD17" s="2">
        <v>399643</v>
      </c>
      <c r="AF17" s="2" t="s">
        <v>47</v>
      </c>
      <c r="AG17" s="2" t="s">
        <v>47</v>
      </c>
      <c r="AH17" s="2" t="s">
        <v>49</v>
      </c>
      <c r="AI17" s="2" t="s">
        <v>47</v>
      </c>
      <c r="AK17" s="2" t="s">
        <v>48</v>
      </c>
      <c r="AL17" s="2" t="s">
        <v>112</v>
      </c>
    </row>
    <row r="18" spans="1:38">
      <c r="A18" s="1">
        <v>5136260</v>
      </c>
      <c r="B18" s="1" t="s">
        <v>113</v>
      </c>
      <c r="C18" s="1" t="str">
        <f>""</f>
        <v/>
      </c>
      <c r="D18" s="1" t="str">
        <f>"9780273750598"</f>
        <v>9780273750598</v>
      </c>
      <c r="E18" s="1" t="s">
        <v>52</v>
      </c>
      <c r="F18" s="1" t="s">
        <v>67</v>
      </c>
      <c r="G18" s="3">
        <v>41480</v>
      </c>
      <c r="H18" s="3">
        <v>1</v>
      </c>
      <c r="I18" s="1" t="s">
        <v>41</v>
      </c>
      <c r="J18" s="1">
        <v>3</v>
      </c>
      <c r="L18" s="1" t="s">
        <v>114</v>
      </c>
      <c r="M18" s="1" t="s">
        <v>59</v>
      </c>
      <c r="Q18" s="1" t="s">
        <v>46</v>
      </c>
      <c r="R18" s="1" t="s">
        <v>47</v>
      </c>
      <c r="S18" s="1" t="s">
        <v>47</v>
      </c>
      <c r="T18" s="1" t="s">
        <v>48</v>
      </c>
      <c r="U18" s="1" t="s">
        <v>47</v>
      </c>
      <c r="V18" s="1" t="s">
        <v>47</v>
      </c>
      <c r="W18" s="1" t="s">
        <v>47</v>
      </c>
      <c r="Z18" s="1">
        <v>0</v>
      </c>
      <c r="AB18" s="1" t="s">
        <v>47</v>
      </c>
      <c r="AD18" s="1">
        <v>404606</v>
      </c>
      <c r="AF18" s="1" t="s">
        <v>47</v>
      </c>
      <c r="AG18" s="1" t="s">
        <v>47</v>
      </c>
      <c r="AH18" s="1" t="s">
        <v>49</v>
      </c>
      <c r="AI18" s="1" t="s">
        <v>47</v>
      </c>
      <c r="AK18" s="1" t="s">
        <v>48</v>
      </c>
      <c r="AL18" s="1" t="s">
        <v>115</v>
      </c>
    </row>
    <row r="19" spans="1:38">
      <c r="A19" s="1">
        <v>5136268</v>
      </c>
      <c r="B19" s="1" t="s">
        <v>116</v>
      </c>
      <c r="C19" s="1" t="str">
        <f>""</f>
        <v/>
      </c>
      <c r="D19" s="1" t="str">
        <f>"9780273763024"</f>
        <v>9780273763024</v>
      </c>
      <c r="E19" s="1" t="s">
        <v>52</v>
      </c>
      <c r="F19" s="1" t="s">
        <v>57</v>
      </c>
      <c r="G19" s="3">
        <v>41480</v>
      </c>
      <c r="H19" s="3">
        <v>1</v>
      </c>
      <c r="I19" s="1" t="s">
        <v>41</v>
      </c>
      <c r="J19" s="1">
        <v>2</v>
      </c>
      <c r="L19" s="1" t="s">
        <v>117</v>
      </c>
      <c r="M19" s="1" t="s">
        <v>59</v>
      </c>
      <c r="Q19" s="1" t="s">
        <v>46</v>
      </c>
      <c r="R19" s="1" t="s">
        <v>47</v>
      </c>
      <c r="S19" s="1" t="s">
        <v>47</v>
      </c>
      <c r="T19" s="1" t="s">
        <v>48</v>
      </c>
      <c r="U19" s="1" t="s">
        <v>47</v>
      </c>
      <c r="V19" s="1" t="s">
        <v>47</v>
      </c>
      <c r="W19" s="1" t="s">
        <v>47</v>
      </c>
      <c r="Z19" s="1">
        <v>0</v>
      </c>
      <c r="AB19" s="1" t="s">
        <v>47</v>
      </c>
      <c r="AD19" s="1">
        <v>463055</v>
      </c>
      <c r="AF19" s="1" t="s">
        <v>47</v>
      </c>
      <c r="AG19" s="1" t="s">
        <v>47</v>
      </c>
      <c r="AH19" s="1" t="s">
        <v>49</v>
      </c>
      <c r="AI19" s="1" t="s">
        <v>47</v>
      </c>
      <c r="AK19" s="1" t="s">
        <v>48</v>
      </c>
      <c r="AL19" s="1" t="s">
        <v>118</v>
      </c>
    </row>
    <row r="20" spans="1:38">
      <c r="A20" s="1">
        <v>5136276</v>
      </c>
      <c r="B20" s="1" t="s">
        <v>119</v>
      </c>
      <c r="C20" s="1" t="str">
        <f>"9781843040293"</f>
        <v>9781843040293</v>
      </c>
      <c r="D20" s="1" t="str">
        <f>"9781405893985"</f>
        <v>9781405893985</v>
      </c>
      <c r="E20" s="1" t="s">
        <v>52</v>
      </c>
      <c r="F20" s="1" t="s">
        <v>52</v>
      </c>
      <c r="G20" s="3">
        <v>38127</v>
      </c>
      <c r="H20" s="3">
        <v>1</v>
      </c>
      <c r="I20" s="1" t="s">
        <v>41</v>
      </c>
      <c r="J20" s="1">
        <v>2</v>
      </c>
      <c r="L20" s="1" t="s">
        <v>120</v>
      </c>
      <c r="M20" s="1" t="s">
        <v>100</v>
      </c>
      <c r="N20" s="1" t="s">
        <v>121</v>
      </c>
      <c r="O20" s="1">
        <v>158.1</v>
      </c>
      <c r="P20" s="1" t="s">
        <v>122</v>
      </c>
      <c r="Q20" s="1" t="s">
        <v>46</v>
      </c>
      <c r="R20" s="1" t="s">
        <v>47</v>
      </c>
      <c r="S20" s="1" t="s">
        <v>47</v>
      </c>
      <c r="T20" s="1" t="s">
        <v>48</v>
      </c>
      <c r="U20" s="1" t="s">
        <v>47</v>
      </c>
      <c r="V20" s="1" t="s">
        <v>47</v>
      </c>
      <c r="W20" s="1" t="s">
        <v>47</v>
      </c>
      <c r="Z20" s="1">
        <v>0</v>
      </c>
      <c r="AB20" s="1" t="s">
        <v>47</v>
      </c>
      <c r="AD20" s="1">
        <v>115712</v>
      </c>
      <c r="AF20" s="1" t="s">
        <v>47</v>
      </c>
      <c r="AG20" s="1" t="s">
        <v>47</v>
      </c>
      <c r="AH20" s="1" t="s">
        <v>49</v>
      </c>
      <c r="AI20" s="1" t="s">
        <v>47</v>
      </c>
      <c r="AK20" s="1" t="s">
        <v>48</v>
      </c>
      <c r="AL20" s="1" t="s">
        <v>123</v>
      </c>
    </row>
    <row r="21" spans="1:38">
      <c r="A21" s="1">
        <v>5136277</v>
      </c>
      <c r="B21" s="1" t="s">
        <v>124</v>
      </c>
      <c r="C21" s="1" t="str">
        <f>"9780273738497"</f>
        <v>9780273738497</v>
      </c>
      <c r="D21" s="1" t="str">
        <f>"9780273738503"</f>
        <v>9780273738503</v>
      </c>
      <c r="E21" s="1" t="s">
        <v>52</v>
      </c>
      <c r="F21" s="1" t="s">
        <v>84</v>
      </c>
      <c r="G21" s="3">
        <v>40402</v>
      </c>
      <c r="H21" s="3">
        <v>1</v>
      </c>
      <c r="I21" s="1" t="s">
        <v>41</v>
      </c>
      <c r="J21" s="1">
        <v>1</v>
      </c>
      <c r="L21" s="1" t="s">
        <v>125</v>
      </c>
      <c r="M21" s="1" t="s">
        <v>100</v>
      </c>
      <c r="N21" s="1" t="s">
        <v>126</v>
      </c>
      <c r="O21" s="1">
        <v>158.19999999999999</v>
      </c>
      <c r="Q21" s="1" t="s">
        <v>46</v>
      </c>
      <c r="R21" s="1" t="s">
        <v>47</v>
      </c>
      <c r="S21" s="1" t="s">
        <v>47</v>
      </c>
      <c r="T21" s="1" t="s">
        <v>48</v>
      </c>
      <c r="U21" s="1" t="s">
        <v>47</v>
      </c>
      <c r="V21" s="1" t="s">
        <v>47</v>
      </c>
      <c r="W21" s="1" t="s">
        <v>47</v>
      </c>
      <c r="Z21" s="1">
        <v>0</v>
      </c>
      <c r="AB21" s="1" t="s">
        <v>47</v>
      </c>
      <c r="AD21" s="1">
        <v>311485</v>
      </c>
      <c r="AF21" s="1" t="s">
        <v>47</v>
      </c>
      <c r="AG21" s="1" t="s">
        <v>47</v>
      </c>
      <c r="AH21" s="1" t="s">
        <v>49</v>
      </c>
      <c r="AI21" s="1" t="s">
        <v>47</v>
      </c>
      <c r="AK21" s="1" t="s">
        <v>48</v>
      </c>
      <c r="AL21" s="1" t="s">
        <v>127</v>
      </c>
    </row>
    <row r="22" spans="1:38" s="2" customFormat="1">
      <c r="A22" s="2">
        <v>5136290</v>
      </c>
      <c r="B22" s="2" t="s">
        <v>128</v>
      </c>
      <c r="C22" s="2" t="str">
        <f>"9780273724537"</f>
        <v>9780273724537</v>
      </c>
      <c r="D22" s="2" t="str">
        <f>"9780273724612"</f>
        <v>9780273724612</v>
      </c>
      <c r="E22" s="2" t="s">
        <v>52</v>
      </c>
      <c r="F22" s="2" t="s">
        <v>57</v>
      </c>
      <c r="G22" s="3">
        <v>40162</v>
      </c>
      <c r="H22" s="3">
        <v>1</v>
      </c>
      <c r="I22" s="2" t="s">
        <v>41</v>
      </c>
      <c r="J22" s="2">
        <v>1</v>
      </c>
      <c r="L22" s="2" t="s">
        <v>129</v>
      </c>
      <c r="M22" s="2" t="s">
        <v>100</v>
      </c>
      <c r="O22" s="2">
        <v>153.94</v>
      </c>
      <c r="Q22" s="2" t="s">
        <v>46</v>
      </c>
      <c r="R22" s="2" t="s">
        <v>47</v>
      </c>
      <c r="S22" s="2" t="s">
        <v>47</v>
      </c>
      <c r="T22" s="2" t="s">
        <v>48</v>
      </c>
      <c r="U22" s="2" t="s">
        <v>47</v>
      </c>
      <c r="V22" s="2" t="s">
        <v>47</v>
      </c>
      <c r="W22" s="2" t="s">
        <v>47</v>
      </c>
      <c r="Z22" s="2">
        <v>0</v>
      </c>
      <c r="AB22" s="2" t="s">
        <v>47</v>
      </c>
      <c r="AD22" s="2">
        <v>252985</v>
      </c>
      <c r="AF22" s="2" t="s">
        <v>47</v>
      </c>
      <c r="AG22" s="2" t="s">
        <v>47</v>
      </c>
      <c r="AH22" s="2" t="s">
        <v>49</v>
      </c>
      <c r="AI22" s="2" t="s">
        <v>47</v>
      </c>
      <c r="AK22" s="2" t="s">
        <v>48</v>
      </c>
      <c r="AL22" s="2" t="s">
        <v>130</v>
      </c>
    </row>
    <row r="23" spans="1:38">
      <c r="A23" s="1">
        <v>5136291</v>
      </c>
      <c r="B23" s="1" t="s">
        <v>131</v>
      </c>
      <c r="C23" s="1" t="str">
        <f>"9780273724650"</f>
        <v>9780273724650</v>
      </c>
      <c r="D23" s="1" t="str">
        <f>"9780273724667"</f>
        <v>9780273724667</v>
      </c>
      <c r="E23" s="1" t="s">
        <v>52</v>
      </c>
      <c r="F23" s="1" t="s">
        <v>57</v>
      </c>
      <c r="G23" s="3">
        <v>40162</v>
      </c>
      <c r="H23" s="3">
        <v>1</v>
      </c>
      <c r="I23" s="1" t="s">
        <v>41</v>
      </c>
      <c r="J23" s="1">
        <v>1</v>
      </c>
      <c r="L23" s="1" t="s">
        <v>129</v>
      </c>
      <c r="M23" s="1" t="s">
        <v>100</v>
      </c>
      <c r="O23" s="1">
        <v>153.94513000000001</v>
      </c>
      <c r="Q23" s="1" t="s">
        <v>46</v>
      </c>
      <c r="R23" s="1" t="s">
        <v>47</v>
      </c>
      <c r="S23" s="1" t="s">
        <v>47</v>
      </c>
      <c r="T23" s="1" t="s">
        <v>48</v>
      </c>
      <c r="U23" s="1" t="s">
        <v>47</v>
      </c>
      <c r="V23" s="1" t="s">
        <v>47</v>
      </c>
      <c r="W23" s="1" t="s">
        <v>47</v>
      </c>
      <c r="Z23" s="1">
        <v>0</v>
      </c>
      <c r="AB23" s="1" t="s">
        <v>47</v>
      </c>
      <c r="AD23" s="1">
        <v>252986</v>
      </c>
      <c r="AF23" s="1" t="s">
        <v>47</v>
      </c>
      <c r="AG23" s="1" t="s">
        <v>47</v>
      </c>
      <c r="AH23" s="1" t="s">
        <v>49</v>
      </c>
      <c r="AI23" s="1" t="s">
        <v>47</v>
      </c>
      <c r="AK23" s="1" t="s">
        <v>48</v>
      </c>
      <c r="AL23" s="1" t="s">
        <v>132</v>
      </c>
    </row>
    <row r="24" spans="1:38">
      <c r="A24" s="1">
        <v>5136298</v>
      </c>
      <c r="B24" s="1" t="s">
        <v>133</v>
      </c>
      <c r="C24" s="1" t="str">
        <f>"9780273710202"</f>
        <v>9780273710202</v>
      </c>
      <c r="D24" s="1" t="str">
        <f>"9781408212790"</f>
        <v>9781408212790</v>
      </c>
      <c r="E24" s="1" t="s">
        <v>52</v>
      </c>
      <c r="F24" s="1" t="s">
        <v>52</v>
      </c>
      <c r="G24" s="3">
        <v>39114</v>
      </c>
      <c r="H24" s="3">
        <v>1</v>
      </c>
      <c r="I24" s="1" t="s">
        <v>41</v>
      </c>
      <c r="J24" s="1">
        <v>3</v>
      </c>
      <c r="L24" s="1" t="s">
        <v>134</v>
      </c>
      <c r="M24" s="1" t="s">
        <v>59</v>
      </c>
      <c r="N24" s="1" t="s">
        <v>135</v>
      </c>
      <c r="O24" s="1">
        <v>650.14</v>
      </c>
      <c r="P24" s="1" t="s">
        <v>136</v>
      </c>
      <c r="Q24" s="1" t="s">
        <v>46</v>
      </c>
      <c r="R24" s="1" t="s">
        <v>47</v>
      </c>
      <c r="S24" s="1" t="s">
        <v>47</v>
      </c>
      <c r="T24" s="1" t="s">
        <v>48</v>
      </c>
      <c r="U24" s="1" t="s">
        <v>47</v>
      </c>
      <c r="V24" s="1" t="s">
        <v>47</v>
      </c>
      <c r="W24" s="1" t="s">
        <v>47</v>
      </c>
      <c r="Z24" s="1">
        <v>0</v>
      </c>
      <c r="AB24" s="1" t="s">
        <v>47</v>
      </c>
      <c r="AD24" s="1">
        <v>177109</v>
      </c>
      <c r="AF24" s="1" t="s">
        <v>47</v>
      </c>
      <c r="AG24" s="1" t="s">
        <v>47</v>
      </c>
      <c r="AH24" s="1" t="s">
        <v>49</v>
      </c>
      <c r="AI24" s="1" t="s">
        <v>47</v>
      </c>
      <c r="AK24" s="1" t="s">
        <v>48</v>
      </c>
      <c r="AL24" s="1" t="s">
        <v>137</v>
      </c>
    </row>
    <row r="25" spans="1:38">
      <c r="A25" s="1">
        <v>5136326</v>
      </c>
      <c r="B25" s="1" t="s">
        <v>138</v>
      </c>
      <c r="C25" s="1" t="str">
        <f>"9780273751007"</f>
        <v>9780273751007</v>
      </c>
      <c r="D25" s="1" t="str">
        <f>"9780273751014"</f>
        <v>9780273751014</v>
      </c>
      <c r="E25" s="1" t="s">
        <v>52</v>
      </c>
      <c r="F25" s="1" t="s">
        <v>139</v>
      </c>
      <c r="G25" s="3">
        <v>40668</v>
      </c>
      <c r="H25" s="3">
        <v>1</v>
      </c>
      <c r="I25" s="1" t="s">
        <v>41</v>
      </c>
      <c r="J25" s="1">
        <v>1</v>
      </c>
      <c r="L25" s="1" t="s">
        <v>140</v>
      </c>
      <c r="M25" s="1" t="s">
        <v>100</v>
      </c>
      <c r="N25" s="1" t="s">
        <v>101</v>
      </c>
      <c r="O25" s="1">
        <v>158.19999999999999</v>
      </c>
      <c r="P25" s="1" t="s">
        <v>141</v>
      </c>
      <c r="Q25" s="1" t="s">
        <v>46</v>
      </c>
      <c r="R25" s="1" t="s">
        <v>47</v>
      </c>
      <c r="S25" s="1" t="s">
        <v>47</v>
      </c>
      <c r="T25" s="1" t="s">
        <v>48</v>
      </c>
      <c r="U25" s="1" t="s">
        <v>47</v>
      </c>
      <c r="V25" s="1" t="s">
        <v>47</v>
      </c>
      <c r="W25" s="1" t="s">
        <v>47</v>
      </c>
      <c r="Z25" s="1">
        <v>0</v>
      </c>
      <c r="AB25" s="1" t="s">
        <v>47</v>
      </c>
      <c r="AD25" s="1">
        <v>327559</v>
      </c>
      <c r="AF25" s="1" t="s">
        <v>47</v>
      </c>
      <c r="AG25" s="1" t="s">
        <v>47</v>
      </c>
      <c r="AH25" s="1" t="s">
        <v>49</v>
      </c>
      <c r="AI25" s="1" t="s">
        <v>47</v>
      </c>
      <c r="AK25" s="1" t="s">
        <v>48</v>
      </c>
      <c r="AL25" s="1" t="s">
        <v>142</v>
      </c>
    </row>
    <row r="26" spans="1:38">
      <c r="A26" s="1">
        <v>5136337</v>
      </c>
      <c r="B26" s="1" t="s">
        <v>143</v>
      </c>
      <c r="C26" s="1" t="str">
        <f>""</f>
        <v/>
      </c>
      <c r="D26" s="1" t="str">
        <f>"9780273788430"</f>
        <v>9780273788430</v>
      </c>
      <c r="E26" s="1" t="s">
        <v>52</v>
      </c>
      <c r="F26" s="1" t="s">
        <v>40</v>
      </c>
      <c r="G26" s="3">
        <v>41584</v>
      </c>
      <c r="H26" s="3">
        <v>1</v>
      </c>
      <c r="I26" s="1" t="s">
        <v>41</v>
      </c>
      <c r="J26" s="1">
        <v>7</v>
      </c>
      <c r="L26" s="1" t="s">
        <v>144</v>
      </c>
      <c r="Q26" s="1" t="s">
        <v>46</v>
      </c>
      <c r="R26" s="1" t="s">
        <v>47</v>
      </c>
      <c r="S26" s="1" t="s">
        <v>47</v>
      </c>
      <c r="T26" s="1" t="s">
        <v>48</v>
      </c>
      <c r="U26" s="1" t="s">
        <v>47</v>
      </c>
      <c r="V26" s="1" t="s">
        <v>47</v>
      </c>
      <c r="W26" s="1" t="s">
        <v>47</v>
      </c>
      <c r="Z26" s="1">
        <v>0</v>
      </c>
      <c r="AB26" s="1" t="s">
        <v>47</v>
      </c>
      <c r="AD26" s="1">
        <v>523729</v>
      </c>
      <c r="AF26" s="1" t="s">
        <v>47</v>
      </c>
      <c r="AG26" s="1" t="s">
        <v>47</v>
      </c>
      <c r="AH26" s="1" t="s">
        <v>49</v>
      </c>
      <c r="AI26" s="1" t="s">
        <v>47</v>
      </c>
      <c r="AK26" s="1" t="s">
        <v>48</v>
      </c>
      <c r="AL26" s="1" t="s">
        <v>145</v>
      </c>
    </row>
    <row r="27" spans="1:38">
      <c r="A27" s="1">
        <v>5136338</v>
      </c>
      <c r="B27" s="1" t="s">
        <v>146</v>
      </c>
      <c r="C27" s="1" t="str">
        <f>"9780273776581"</f>
        <v>9780273776581</v>
      </c>
      <c r="D27" s="1" t="str">
        <f>"9780273776598"</f>
        <v>9780273776598</v>
      </c>
      <c r="E27" s="1" t="s">
        <v>52</v>
      </c>
      <c r="F27" s="1" t="s">
        <v>40</v>
      </c>
      <c r="G27" s="3">
        <v>41065</v>
      </c>
      <c r="H27" s="3">
        <v>1</v>
      </c>
      <c r="I27" s="1" t="s">
        <v>41</v>
      </c>
      <c r="J27" s="1">
        <v>2</v>
      </c>
      <c r="L27" s="1" t="s">
        <v>147</v>
      </c>
      <c r="M27" s="1" t="s">
        <v>59</v>
      </c>
      <c r="N27" s="1" t="s">
        <v>148</v>
      </c>
      <c r="O27" s="1">
        <v>650.14200000000005</v>
      </c>
      <c r="Q27" s="1" t="s">
        <v>46</v>
      </c>
      <c r="R27" s="1" t="s">
        <v>47</v>
      </c>
      <c r="S27" s="1" t="s">
        <v>47</v>
      </c>
      <c r="T27" s="1" t="s">
        <v>48</v>
      </c>
      <c r="U27" s="1" t="s">
        <v>47</v>
      </c>
      <c r="V27" s="1" t="s">
        <v>47</v>
      </c>
      <c r="W27" s="1" t="s">
        <v>47</v>
      </c>
      <c r="Z27" s="1">
        <v>0</v>
      </c>
      <c r="AB27" s="1" t="s">
        <v>47</v>
      </c>
      <c r="AD27" s="1">
        <v>462976</v>
      </c>
      <c r="AF27" s="1" t="s">
        <v>47</v>
      </c>
      <c r="AG27" s="1" t="s">
        <v>47</v>
      </c>
      <c r="AH27" s="1" t="s">
        <v>49</v>
      </c>
      <c r="AI27" s="1" t="s">
        <v>47</v>
      </c>
      <c r="AK27" s="1" t="s">
        <v>48</v>
      </c>
      <c r="AL27" s="1" t="s">
        <v>149</v>
      </c>
    </row>
    <row r="28" spans="1:38">
      <c r="A28" s="1">
        <v>5136339</v>
      </c>
      <c r="B28" s="1" t="s">
        <v>150</v>
      </c>
      <c r="C28" s="1" t="str">
        <f>"9780273776628"</f>
        <v>9780273776628</v>
      </c>
      <c r="D28" s="1" t="str">
        <f>"9780273776635"</f>
        <v>9780273776635</v>
      </c>
      <c r="E28" s="1" t="s">
        <v>52</v>
      </c>
      <c r="F28" s="1" t="s">
        <v>40</v>
      </c>
      <c r="G28" s="3">
        <v>41032</v>
      </c>
      <c r="H28" s="3">
        <v>1</v>
      </c>
      <c r="I28" s="1" t="s">
        <v>41</v>
      </c>
      <c r="J28" s="1">
        <v>2</v>
      </c>
      <c r="L28" s="1" t="s">
        <v>147</v>
      </c>
      <c r="M28" s="1" t="s">
        <v>59</v>
      </c>
      <c r="N28" s="1" t="s">
        <v>151</v>
      </c>
      <c r="O28" s="1">
        <v>650.14400000000001</v>
      </c>
      <c r="Q28" s="1" t="s">
        <v>46</v>
      </c>
      <c r="R28" s="1" t="s">
        <v>47</v>
      </c>
      <c r="S28" s="1" t="s">
        <v>47</v>
      </c>
      <c r="T28" s="1" t="s">
        <v>48</v>
      </c>
      <c r="U28" s="1" t="s">
        <v>47</v>
      </c>
      <c r="V28" s="1" t="s">
        <v>47</v>
      </c>
      <c r="W28" s="1" t="s">
        <v>47</v>
      </c>
      <c r="Z28" s="1">
        <v>0</v>
      </c>
      <c r="AB28" s="1" t="s">
        <v>47</v>
      </c>
      <c r="AD28" s="1">
        <v>462988</v>
      </c>
      <c r="AF28" s="1" t="s">
        <v>47</v>
      </c>
      <c r="AG28" s="1" t="s">
        <v>47</v>
      </c>
      <c r="AH28" s="1" t="s">
        <v>49</v>
      </c>
      <c r="AI28" s="1" t="s">
        <v>47</v>
      </c>
      <c r="AK28" s="1" t="s">
        <v>48</v>
      </c>
      <c r="AL28" s="1" t="s">
        <v>152</v>
      </c>
    </row>
    <row r="29" spans="1:38">
      <c r="A29" s="1">
        <v>5136340</v>
      </c>
      <c r="B29" s="1" t="s">
        <v>153</v>
      </c>
      <c r="C29" s="1" t="str">
        <f>"9780273776666"</f>
        <v>9780273776666</v>
      </c>
      <c r="D29" s="1" t="str">
        <f>"9780273776673"</f>
        <v>9780273776673</v>
      </c>
      <c r="E29" s="1" t="s">
        <v>52</v>
      </c>
      <c r="F29" s="1" t="s">
        <v>40</v>
      </c>
      <c r="G29" s="3">
        <v>41157</v>
      </c>
      <c r="H29" s="3">
        <v>1</v>
      </c>
      <c r="I29" s="1" t="s">
        <v>41</v>
      </c>
      <c r="J29" s="1">
        <v>2</v>
      </c>
      <c r="L29" s="1" t="s">
        <v>147</v>
      </c>
      <c r="M29" s="1" t="s">
        <v>59</v>
      </c>
      <c r="N29" s="1" t="s">
        <v>154</v>
      </c>
      <c r="O29" s="1">
        <v>650.14200000000005</v>
      </c>
      <c r="Q29" s="1" t="s">
        <v>46</v>
      </c>
      <c r="R29" s="1" t="s">
        <v>47</v>
      </c>
      <c r="S29" s="1" t="s">
        <v>47</v>
      </c>
      <c r="T29" s="1" t="s">
        <v>48</v>
      </c>
      <c r="U29" s="1" t="s">
        <v>47</v>
      </c>
      <c r="V29" s="1" t="s">
        <v>47</v>
      </c>
      <c r="W29" s="1" t="s">
        <v>47</v>
      </c>
      <c r="Z29" s="1">
        <v>0</v>
      </c>
      <c r="AB29" s="1" t="s">
        <v>47</v>
      </c>
      <c r="AD29" s="1">
        <v>462997</v>
      </c>
      <c r="AF29" s="1" t="s">
        <v>47</v>
      </c>
      <c r="AG29" s="1" t="s">
        <v>47</v>
      </c>
      <c r="AH29" s="1" t="s">
        <v>49</v>
      </c>
      <c r="AI29" s="1" t="s">
        <v>47</v>
      </c>
      <c r="AK29" s="1" t="s">
        <v>48</v>
      </c>
      <c r="AL29" s="1" t="s">
        <v>155</v>
      </c>
    </row>
    <row r="30" spans="1:38">
      <c r="A30" s="1">
        <v>5136341</v>
      </c>
      <c r="B30" s="1" t="s">
        <v>156</v>
      </c>
      <c r="C30" s="1" t="str">
        <f>"9780133526981"</f>
        <v>9780133526981</v>
      </c>
      <c r="D30" s="1" t="str">
        <f>"9780273743446"</f>
        <v>9780273743446</v>
      </c>
      <c r="E30" s="1" t="s">
        <v>52</v>
      </c>
      <c r="F30" s="1" t="s">
        <v>157</v>
      </c>
      <c r="G30" s="3">
        <v>40630</v>
      </c>
      <c r="H30" s="3">
        <v>1</v>
      </c>
      <c r="I30" s="1" t="s">
        <v>41</v>
      </c>
      <c r="J30" s="1">
        <v>3</v>
      </c>
      <c r="L30" s="1" t="s">
        <v>158</v>
      </c>
      <c r="Q30" s="1" t="s">
        <v>46</v>
      </c>
      <c r="R30" s="1" t="s">
        <v>47</v>
      </c>
      <c r="S30" s="1" t="s">
        <v>47</v>
      </c>
      <c r="T30" s="1" t="s">
        <v>48</v>
      </c>
      <c r="U30" s="1" t="s">
        <v>47</v>
      </c>
      <c r="V30" s="1" t="s">
        <v>47</v>
      </c>
      <c r="W30" s="1" t="s">
        <v>47</v>
      </c>
      <c r="Z30" s="1">
        <v>0</v>
      </c>
      <c r="AB30" s="1" t="s">
        <v>47</v>
      </c>
      <c r="AD30" s="1">
        <v>305620</v>
      </c>
      <c r="AF30" s="1" t="s">
        <v>47</v>
      </c>
      <c r="AG30" s="1" t="s">
        <v>47</v>
      </c>
      <c r="AH30" s="1" t="s">
        <v>49</v>
      </c>
      <c r="AI30" s="1" t="s">
        <v>47</v>
      </c>
      <c r="AK30" s="1" t="s">
        <v>48</v>
      </c>
      <c r="AL30" s="1" t="s">
        <v>159</v>
      </c>
    </row>
    <row r="31" spans="1:38">
      <c r="A31" s="1">
        <v>5136346</v>
      </c>
      <c r="B31" s="1" t="s">
        <v>160</v>
      </c>
      <c r="C31" s="1" t="str">
        <f>"9781408267806"</f>
        <v>9781408267806</v>
      </c>
      <c r="D31" s="1" t="str">
        <f>"9781408268230"</f>
        <v>9781408268230</v>
      </c>
      <c r="E31" s="1" t="s">
        <v>52</v>
      </c>
      <c r="F31" s="1" t="s">
        <v>40</v>
      </c>
      <c r="G31" s="3">
        <v>41194</v>
      </c>
      <c r="H31" s="3">
        <v>1</v>
      </c>
      <c r="I31" s="1" t="s">
        <v>41</v>
      </c>
      <c r="J31" s="1">
        <v>1</v>
      </c>
      <c r="L31" s="1" t="s">
        <v>161</v>
      </c>
      <c r="M31" s="1" t="s">
        <v>162</v>
      </c>
      <c r="O31" s="1">
        <v>341</v>
      </c>
      <c r="Q31" s="1" t="s">
        <v>46</v>
      </c>
      <c r="R31" s="1" t="s">
        <v>47</v>
      </c>
      <c r="S31" s="1" t="s">
        <v>47</v>
      </c>
      <c r="T31" s="1" t="s">
        <v>48</v>
      </c>
      <c r="U31" s="1" t="s">
        <v>47</v>
      </c>
      <c r="V31" s="1" t="s">
        <v>47</v>
      </c>
      <c r="W31" s="1" t="s">
        <v>47</v>
      </c>
      <c r="Z31" s="1">
        <v>0</v>
      </c>
      <c r="AB31" s="1" t="s">
        <v>47</v>
      </c>
      <c r="AD31" s="1">
        <v>399627</v>
      </c>
      <c r="AF31" s="1" t="s">
        <v>47</v>
      </c>
      <c r="AG31" s="1" t="s">
        <v>47</v>
      </c>
      <c r="AH31" s="1" t="s">
        <v>49</v>
      </c>
      <c r="AI31" s="1" t="s">
        <v>47</v>
      </c>
      <c r="AK31" s="1" t="s">
        <v>48</v>
      </c>
      <c r="AL31" s="1" t="s">
        <v>163</v>
      </c>
    </row>
    <row r="32" spans="1:38">
      <c r="A32" s="1">
        <v>5136356</v>
      </c>
      <c r="B32" s="1" t="s">
        <v>164</v>
      </c>
      <c r="C32" s="1" t="str">
        <f>"9781447900795"</f>
        <v>9781447900795</v>
      </c>
      <c r="D32" s="1" t="str">
        <f>"9781447900801"</f>
        <v>9781447900801</v>
      </c>
      <c r="E32" s="1" t="s">
        <v>52</v>
      </c>
      <c r="F32" s="1" t="s">
        <v>40</v>
      </c>
      <c r="G32" s="3">
        <v>41194</v>
      </c>
      <c r="H32" s="3">
        <v>1</v>
      </c>
      <c r="I32" s="1" t="s">
        <v>41</v>
      </c>
      <c r="J32" s="1">
        <v>3</v>
      </c>
      <c r="L32" s="1" t="s">
        <v>165</v>
      </c>
      <c r="M32" s="1" t="s">
        <v>162</v>
      </c>
      <c r="O32" s="1">
        <v>346.41048000000001</v>
      </c>
      <c r="Q32" s="1" t="s">
        <v>46</v>
      </c>
      <c r="R32" s="1" t="s">
        <v>47</v>
      </c>
      <c r="S32" s="1" t="s">
        <v>47</v>
      </c>
      <c r="T32" s="1" t="s">
        <v>48</v>
      </c>
      <c r="U32" s="1" t="s">
        <v>47</v>
      </c>
      <c r="V32" s="1" t="s">
        <v>47</v>
      </c>
      <c r="W32" s="1" t="s">
        <v>47</v>
      </c>
      <c r="Z32" s="1">
        <v>0</v>
      </c>
      <c r="AB32" s="1" t="s">
        <v>47</v>
      </c>
      <c r="AD32" s="1">
        <v>399645</v>
      </c>
      <c r="AF32" s="1" t="s">
        <v>47</v>
      </c>
      <c r="AG32" s="1" t="s">
        <v>47</v>
      </c>
      <c r="AH32" s="1" t="s">
        <v>49</v>
      </c>
      <c r="AI32" s="1" t="s">
        <v>47</v>
      </c>
      <c r="AK32" s="1" t="s">
        <v>48</v>
      </c>
      <c r="AL32" s="1" t="s">
        <v>166</v>
      </c>
    </row>
    <row r="33" spans="1:38">
      <c r="A33" s="1">
        <v>5136361</v>
      </c>
      <c r="B33" s="1" t="s">
        <v>167</v>
      </c>
      <c r="C33" s="1" t="str">
        <f>"9780273722854"</f>
        <v>9780273722854</v>
      </c>
      <c r="D33" s="1" t="str">
        <f>"9780273722892"</f>
        <v>9780273722892</v>
      </c>
      <c r="E33" s="1" t="s">
        <v>52</v>
      </c>
      <c r="F33" s="1" t="s">
        <v>67</v>
      </c>
      <c r="G33" s="3">
        <v>40807</v>
      </c>
      <c r="H33" s="3">
        <v>1</v>
      </c>
      <c r="I33" s="1" t="s">
        <v>41</v>
      </c>
      <c r="J33" s="1">
        <v>6</v>
      </c>
      <c r="L33" s="1" t="s">
        <v>168</v>
      </c>
      <c r="M33" s="1" t="s">
        <v>59</v>
      </c>
      <c r="N33" s="1" t="s">
        <v>169</v>
      </c>
      <c r="O33" s="1">
        <v>658.3</v>
      </c>
      <c r="Q33" s="1" t="s">
        <v>46</v>
      </c>
      <c r="R33" s="1" t="s">
        <v>47</v>
      </c>
      <c r="S33" s="1" t="s">
        <v>47</v>
      </c>
      <c r="T33" s="1" t="s">
        <v>48</v>
      </c>
      <c r="U33" s="1" t="s">
        <v>47</v>
      </c>
      <c r="V33" s="1" t="s">
        <v>47</v>
      </c>
      <c r="W33" s="1" t="s">
        <v>47</v>
      </c>
      <c r="Z33" s="1">
        <v>0</v>
      </c>
      <c r="AB33" s="1" t="s">
        <v>47</v>
      </c>
      <c r="AD33" s="1">
        <v>327528</v>
      </c>
      <c r="AF33" s="1" t="s">
        <v>47</v>
      </c>
      <c r="AG33" s="1" t="s">
        <v>47</v>
      </c>
      <c r="AH33" s="1" t="s">
        <v>49</v>
      </c>
      <c r="AI33" s="1" t="s">
        <v>47</v>
      </c>
      <c r="AK33" s="1" t="s">
        <v>48</v>
      </c>
      <c r="AL33" s="1" t="s">
        <v>170</v>
      </c>
    </row>
    <row r="34" spans="1:38">
      <c r="A34" s="1">
        <v>5136388</v>
      </c>
      <c r="B34" s="1" t="s">
        <v>171</v>
      </c>
      <c r="C34" s="1" t="str">
        <f>"9781408271049"</f>
        <v>9781408271049</v>
      </c>
      <c r="D34" s="1" t="str">
        <f>"9781408271483"</f>
        <v>9781408271483</v>
      </c>
      <c r="E34" s="1" t="s">
        <v>52</v>
      </c>
      <c r="F34" s="1" t="s">
        <v>40</v>
      </c>
      <c r="G34" s="3">
        <v>41194</v>
      </c>
      <c r="H34" s="3">
        <v>1</v>
      </c>
      <c r="I34" s="1" t="s">
        <v>41</v>
      </c>
      <c r="J34" s="1">
        <v>3</v>
      </c>
      <c r="L34" s="1" t="s">
        <v>172</v>
      </c>
      <c r="M34" s="1" t="s">
        <v>162</v>
      </c>
      <c r="O34" s="1">
        <v>344.42009999999999</v>
      </c>
      <c r="Q34" s="1" t="s">
        <v>46</v>
      </c>
      <c r="R34" s="1" t="s">
        <v>47</v>
      </c>
      <c r="S34" s="1" t="s">
        <v>47</v>
      </c>
      <c r="T34" s="1" t="s">
        <v>48</v>
      </c>
      <c r="U34" s="1" t="s">
        <v>47</v>
      </c>
      <c r="V34" s="1" t="s">
        <v>47</v>
      </c>
      <c r="W34" s="1" t="s">
        <v>47</v>
      </c>
      <c r="Z34" s="1">
        <v>0</v>
      </c>
      <c r="AB34" s="1" t="s">
        <v>47</v>
      </c>
      <c r="AD34" s="1">
        <v>399635</v>
      </c>
      <c r="AF34" s="1" t="s">
        <v>47</v>
      </c>
      <c r="AG34" s="1" t="s">
        <v>47</v>
      </c>
      <c r="AH34" s="1" t="s">
        <v>49</v>
      </c>
      <c r="AI34" s="1" t="s">
        <v>47</v>
      </c>
      <c r="AK34" s="1" t="s">
        <v>48</v>
      </c>
      <c r="AL34" s="1" t="s">
        <v>173</v>
      </c>
    </row>
    <row r="35" spans="1:38">
      <c r="A35" s="1">
        <v>5136395</v>
      </c>
      <c r="B35" s="1" t="s">
        <v>174</v>
      </c>
      <c r="C35" s="1" t="str">
        <f>"9780273786351"</f>
        <v>9780273786351</v>
      </c>
      <c r="D35" s="1" t="str">
        <f>"9780273794578"</f>
        <v>9780273794578</v>
      </c>
      <c r="E35" s="1" t="s">
        <v>52</v>
      </c>
      <c r="F35" s="1" t="s">
        <v>40</v>
      </c>
      <c r="G35" s="3">
        <v>41459</v>
      </c>
      <c r="H35" s="3">
        <v>1</v>
      </c>
      <c r="I35" s="1" t="s">
        <v>41</v>
      </c>
      <c r="J35" s="1">
        <v>1</v>
      </c>
      <c r="L35" s="1" t="s">
        <v>175</v>
      </c>
      <c r="M35" s="1" t="s">
        <v>176</v>
      </c>
      <c r="O35" s="1">
        <v>428.43</v>
      </c>
      <c r="Q35" s="1" t="s">
        <v>46</v>
      </c>
      <c r="R35" s="1" t="s">
        <v>47</v>
      </c>
      <c r="S35" s="1" t="s">
        <v>47</v>
      </c>
      <c r="T35" s="1" t="s">
        <v>48</v>
      </c>
      <c r="U35" s="1" t="s">
        <v>47</v>
      </c>
      <c r="V35" s="1" t="s">
        <v>47</v>
      </c>
      <c r="W35" s="1" t="s">
        <v>47</v>
      </c>
      <c r="Z35" s="1">
        <v>0</v>
      </c>
      <c r="AB35" s="1" t="s">
        <v>47</v>
      </c>
      <c r="AD35" s="1">
        <v>502446</v>
      </c>
      <c r="AF35" s="1" t="s">
        <v>47</v>
      </c>
      <c r="AG35" s="1" t="s">
        <v>47</v>
      </c>
      <c r="AH35" s="1" t="s">
        <v>49</v>
      </c>
      <c r="AI35" s="1" t="s">
        <v>47</v>
      </c>
      <c r="AK35" s="1" t="s">
        <v>48</v>
      </c>
      <c r="AL35" s="1" t="s">
        <v>177</v>
      </c>
    </row>
    <row r="36" spans="1:38">
      <c r="A36" s="1">
        <v>5136409</v>
      </c>
      <c r="B36" s="1" t="s">
        <v>178</v>
      </c>
      <c r="C36" s="1" t="str">
        <f>"9780273726029"</f>
        <v>9780273726029</v>
      </c>
      <c r="D36" s="1" t="str">
        <f>"9780273726036"</f>
        <v>9780273726036</v>
      </c>
      <c r="E36" s="1" t="s">
        <v>52</v>
      </c>
      <c r="F36" s="1" t="s">
        <v>157</v>
      </c>
      <c r="G36" s="3">
        <v>40745</v>
      </c>
      <c r="H36" s="3">
        <v>1</v>
      </c>
      <c r="I36" s="1" t="s">
        <v>41</v>
      </c>
      <c r="J36" s="1">
        <v>5</v>
      </c>
      <c r="L36" s="1" t="s">
        <v>179</v>
      </c>
      <c r="M36" s="1" t="s">
        <v>100</v>
      </c>
      <c r="N36" s="1" t="s">
        <v>180</v>
      </c>
      <c r="O36" s="1">
        <v>150.727</v>
      </c>
      <c r="Q36" s="1" t="s">
        <v>46</v>
      </c>
      <c r="R36" s="1" t="s">
        <v>47</v>
      </c>
      <c r="S36" s="1" t="s">
        <v>47</v>
      </c>
      <c r="T36" s="1" t="s">
        <v>48</v>
      </c>
      <c r="U36" s="1" t="s">
        <v>47</v>
      </c>
      <c r="V36" s="1" t="s">
        <v>47</v>
      </c>
      <c r="W36" s="1" t="s">
        <v>47</v>
      </c>
      <c r="Z36" s="1">
        <v>0</v>
      </c>
      <c r="AB36" s="1" t="s">
        <v>47</v>
      </c>
      <c r="AD36" s="1">
        <v>317318</v>
      </c>
      <c r="AF36" s="1" t="s">
        <v>47</v>
      </c>
      <c r="AG36" s="1" t="s">
        <v>47</v>
      </c>
      <c r="AH36" s="1" t="s">
        <v>49</v>
      </c>
      <c r="AI36" s="1" t="s">
        <v>47</v>
      </c>
      <c r="AK36" s="1" t="s">
        <v>48</v>
      </c>
      <c r="AL36" s="1" t="s">
        <v>181</v>
      </c>
    </row>
    <row r="37" spans="1:38">
      <c r="A37" s="1">
        <v>5136415</v>
      </c>
      <c r="B37" s="1" t="s">
        <v>182</v>
      </c>
      <c r="C37" s="1" t="str">
        <f>"9781408271803"</f>
        <v>9781408271803</v>
      </c>
      <c r="D37" s="1" t="str">
        <f>"9781408271810"</f>
        <v>9781408271810</v>
      </c>
      <c r="E37" s="1" t="s">
        <v>52</v>
      </c>
      <c r="F37" s="1" t="s">
        <v>40</v>
      </c>
      <c r="G37" s="3">
        <v>41311</v>
      </c>
      <c r="H37" s="3">
        <v>1</v>
      </c>
      <c r="I37" s="1" t="s">
        <v>41</v>
      </c>
      <c r="J37" s="1">
        <v>2</v>
      </c>
      <c r="L37" s="1" t="s">
        <v>183</v>
      </c>
      <c r="M37" s="1" t="s">
        <v>162</v>
      </c>
      <c r="O37" s="1">
        <v>341.48</v>
      </c>
      <c r="Q37" s="1" t="s">
        <v>46</v>
      </c>
      <c r="R37" s="1" t="s">
        <v>47</v>
      </c>
      <c r="S37" s="1" t="s">
        <v>47</v>
      </c>
      <c r="T37" s="1" t="s">
        <v>48</v>
      </c>
      <c r="U37" s="1" t="s">
        <v>47</v>
      </c>
      <c r="V37" s="1" t="s">
        <v>47</v>
      </c>
      <c r="W37" s="1" t="s">
        <v>47</v>
      </c>
      <c r="Z37" s="1">
        <v>0</v>
      </c>
      <c r="AB37" s="1" t="s">
        <v>47</v>
      </c>
      <c r="AD37" s="1">
        <v>463021</v>
      </c>
      <c r="AF37" s="1" t="s">
        <v>47</v>
      </c>
      <c r="AG37" s="1" t="s">
        <v>47</v>
      </c>
      <c r="AH37" s="1" t="s">
        <v>49</v>
      </c>
      <c r="AI37" s="1" t="s">
        <v>47</v>
      </c>
      <c r="AK37" s="1" t="s">
        <v>48</v>
      </c>
      <c r="AL37" s="1" t="s">
        <v>184</v>
      </c>
    </row>
    <row r="38" spans="1:38" s="2" customFormat="1">
      <c r="A38" s="2">
        <v>5136427</v>
      </c>
      <c r="B38" s="2" t="s">
        <v>185</v>
      </c>
      <c r="C38" s="2" t="str">
        <f>"9781408295311"</f>
        <v>9781408295311</v>
      </c>
      <c r="D38" s="2" t="str">
        <f>"9781408295328"</f>
        <v>9781408295328</v>
      </c>
      <c r="E38" s="2" t="s">
        <v>52</v>
      </c>
      <c r="F38" s="2" t="s">
        <v>40</v>
      </c>
      <c r="G38" s="3">
        <v>41194</v>
      </c>
      <c r="H38" s="3">
        <v>1</v>
      </c>
      <c r="I38" s="2" t="s">
        <v>41</v>
      </c>
      <c r="J38" s="2">
        <v>4</v>
      </c>
      <c r="L38" s="2" t="s">
        <v>186</v>
      </c>
      <c r="M38" s="2" t="s">
        <v>162</v>
      </c>
      <c r="N38" s="2" t="s">
        <v>187</v>
      </c>
      <c r="O38" s="2">
        <v>346.42043000000001</v>
      </c>
      <c r="Q38" s="2" t="s">
        <v>46</v>
      </c>
      <c r="R38" s="2" t="s">
        <v>47</v>
      </c>
      <c r="S38" s="2" t="s">
        <v>47</v>
      </c>
      <c r="T38" s="2" t="s">
        <v>48</v>
      </c>
      <c r="U38" s="2" t="s">
        <v>47</v>
      </c>
      <c r="V38" s="2" t="s">
        <v>47</v>
      </c>
      <c r="W38" s="2" t="s">
        <v>47</v>
      </c>
      <c r="Z38" s="2">
        <v>0</v>
      </c>
      <c r="AB38" s="2" t="s">
        <v>47</v>
      </c>
      <c r="AD38" s="2">
        <v>399637</v>
      </c>
      <c r="AF38" s="2" t="s">
        <v>47</v>
      </c>
      <c r="AG38" s="2" t="s">
        <v>47</v>
      </c>
      <c r="AH38" s="2" t="s">
        <v>49</v>
      </c>
      <c r="AI38" s="2" t="s">
        <v>47</v>
      </c>
      <c r="AK38" s="2" t="s">
        <v>48</v>
      </c>
      <c r="AL38" s="2" t="s">
        <v>188</v>
      </c>
    </row>
    <row r="39" spans="1:38">
      <c r="A39" s="1">
        <v>5136428</v>
      </c>
      <c r="B39" s="1" t="s">
        <v>189</v>
      </c>
      <c r="C39" s="1" t="str">
        <f>"9781408295342"</f>
        <v>9781408295342</v>
      </c>
      <c r="D39" s="1" t="str">
        <f>"9781408295359"</f>
        <v>9781408295359</v>
      </c>
      <c r="E39" s="1" t="s">
        <v>52</v>
      </c>
      <c r="F39" s="1" t="s">
        <v>40</v>
      </c>
      <c r="G39" s="3">
        <v>41194</v>
      </c>
      <c r="H39" s="3">
        <v>1</v>
      </c>
      <c r="I39" s="1" t="s">
        <v>41</v>
      </c>
      <c r="J39" s="1">
        <v>4</v>
      </c>
      <c r="L39" s="1" t="s">
        <v>186</v>
      </c>
      <c r="M39" s="1" t="s">
        <v>162</v>
      </c>
      <c r="O39" s="1">
        <v>346.42059</v>
      </c>
      <c r="Q39" s="1" t="s">
        <v>46</v>
      </c>
      <c r="R39" s="1" t="s">
        <v>47</v>
      </c>
      <c r="S39" s="1" t="s">
        <v>47</v>
      </c>
      <c r="T39" s="1" t="s">
        <v>48</v>
      </c>
      <c r="U39" s="1" t="s">
        <v>47</v>
      </c>
      <c r="V39" s="1" t="s">
        <v>47</v>
      </c>
      <c r="W39" s="1" t="s">
        <v>47</v>
      </c>
      <c r="Z39" s="1">
        <v>0</v>
      </c>
      <c r="AB39" s="1" t="s">
        <v>47</v>
      </c>
      <c r="AD39" s="1">
        <v>399638</v>
      </c>
      <c r="AF39" s="1" t="s">
        <v>47</v>
      </c>
      <c r="AG39" s="1" t="s">
        <v>47</v>
      </c>
      <c r="AH39" s="1" t="s">
        <v>49</v>
      </c>
      <c r="AI39" s="1" t="s">
        <v>47</v>
      </c>
      <c r="AK39" s="1" t="s">
        <v>48</v>
      </c>
      <c r="AL39" s="1" t="s">
        <v>190</v>
      </c>
    </row>
    <row r="40" spans="1:38">
      <c r="A40" s="1">
        <v>5136442</v>
      </c>
      <c r="B40" s="1" t="s">
        <v>191</v>
      </c>
      <c r="C40" s="1" t="str">
        <f>"9781408295373"</f>
        <v>9781408295373</v>
      </c>
      <c r="D40" s="1" t="str">
        <f>"9781408295380"</f>
        <v>9781408295380</v>
      </c>
      <c r="E40" s="1" t="s">
        <v>52</v>
      </c>
      <c r="F40" s="1" t="s">
        <v>40</v>
      </c>
      <c r="G40" s="3">
        <v>41194</v>
      </c>
      <c r="H40" s="3">
        <v>1</v>
      </c>
      <c r="I40" s="1" t="s">
        <v>41</v>
      </c>
      <c r="J40" s="1">
        <v>4</v>
      </c>
      <c r="L40" s="1" t="s">
        <v>192</v>
      </c>
      <c r="M40" s="1" t="s">
        <v>162</v>
      </c>
      <c r="O40" s="1">
        <v>349.42</v>
      </c>
      <c r="Q40" s="1" t="s">
        <v>46</v>
      </c>
      <c r="R40" s="1" t="s">
        <v>47</v>
      </c>
      <c r="S40" s="1" t="s">
        <v>47</v>
      </c>
      <c r="T40" s="1" t="s">
        <v>48</v>
      </c>
      <c r="U40" s="1" t="s">
        <v>47</v>
      </c>
      <c r="V40" s="1" t="s">
        <v>47</v>
      </c>
      <c r="W40" s="1" t="s">
        <v>47</v>
      </c>
      <c r="Z40" s="1">
        <v>0</v>
      </c>
      <c r="AB40" s="1" t="s">
        <v>47</v>
      </c>
      <c r="AD40" s="1">
        <v>399639</v>
      </c>
      <c r="AF40" s="1" t="s">
        <v>47</v>
      </c>
      <c r="AG40" s="1" t="s">
        <v>47</v>
      </c>
      <c r="AH40" s="1" t="s">
        <v>49</v>
      </c>
      <c r="AI40" s="1" t="s">
        <v>47</v>
      </c>
      <c r="AK40" s="1" t="s">
        <v>48</v>
      </c>
      <c r="AL40" s="1" t="s">
        <v>193</v>
      </c>
    </row>
    <row r="41" spans="1:38">
      <c r="A41" s="1">
        <v>5136443</v>
      </c>
      <c r="B41" s="1" t="s">
        <v>194</v>
      </c>
      <c r="C41" s="1" t="str">
        <f>"9781405859479"</f>
        <v>9781405859479</v>
      </c>
      <c r="D41" s="1" t="str">
        <f>"9781408291955"</f>
        <v>9781408291955</v>
      </c>
      <c r="E41" s="1" t="s">
        <v>52</v>
      </c>
      <c r="F41" s="1" t="s">
        <v>195</v>
      </c>
      <c r="G41" s="3">
        <v>41312</v>
      </c>
      <c r="H41" s="3">
        <v>1</v>
      </c>
      <c r="I41" s="1" t="s">
        <v>41</v>
      </c>
      <c r="J41" s="1">
        <v>1</v>
      </c>
      <c r="L41" s="1" t="s">
        <v>196</v>
      </c>
      <c r="M41" s="1" t="s">
        <v>162</v>
      </c>
      <c r="N41" s="1" t="s">
        <v>197</v>
      </c>
      <c r="O41" s="1">
        <v>340.07600000000002</v>
      </c>
      <c r="Q41" s="1" t="s">
        <v>46</v>
      </c>
      <c r="R41" s="1" t="s">
        <v>47</v>
      </c>
      <c r="S41" s="1" t="s">
        <v>47</v>
      </c>
      <c r="T41" s="1" t="s">
        <v>48</v>
      </c>
      <c r="U41" s="1" t="s">
        <v>47</v>
      </c>
      <c r="V41" s="1" t="s">
        <v>47</v>
      </c>
      <c r="W41" s="1" t="s">
        <v>47</v>
      </c>
      <c r="Z41" s="1">
        <v>0</v>
      </c>
      <c r="AB41" s="1" t="s">
        <v>47</v>
      </c>
      <c r="AD41" s="1">
        <v>462968</v>
      </c>
      <c r="AF41" s="1" t="s">
        <v>47</v>
      </c>
      <c r="AG41" s="1" t="s">
        <v>47</v>
      </c>
      <c r="AH41" s="1" t="s">
        <v>49</v>
      </c>
      <c r="AI41" s="1" t="s">
        <v>47</v>
      </c>
      <c r="AK41" s="1" t="s">
        <v>48</v>
      </c>
      <c r="AL41" s="1" t="s">
        <v>198</v>
      </c>
    </row>
    <row r="42" spans="1:38">
      <c r="A42" s="1">
        <v>5136444</v>
      </c>
      <c r="B42" s="1" t="s">
        <v>199</v>
      </c>
      <c r="C42" s="1" t="str">
        <f>"9781408295434"</f>
        <v>9781408295434</v>
      </c>
      <c r="D42" s="1" t="str">
        <f>"9781408295441"</f>
        <v>9781408295441</v>
      </c>
      <c r="E42" s="1" t="s">
        <v>52</v>
      </c>
      <c r="F42" s="1" t="s">
        <v>40</v>
      </c>
      <c r="G42" s="3">
        <v>41323</v>
      </c>
      <c r="H42" s="3">
        <v>1</v>
      </c>
      <c r="I42" s="1" t="s">
        <v>41</v>
      </c>
      <c r="J42" s="1">
        <v>4</v>
      </c>
      <c r="K42" s="1" t="s">
        <v>200</v>
      </c>
      <c r="L42" s="1" t="s">
        <v>196</v>
      </c>
      <c r="M42" s="1" t="s">
        <v>162</v>
      </c>
      <c r="N42" s="1" t="s">
        <v>201</v>
      </c>
      <c r="O42" s="1">
        <v>346.4203</v>
      </c>
      <c r="Q42" s="1" t="s">
        <v>46</v>
      </c>
      <c r="R42" s="1" t="s">
        <v>47</v>
      </c>
      <c r="S42" s="1" t="s">
        <v>47</v>
      </c>
      <c r="T42" s="1" t="s">
        <v>48</v>
      </c>
      <c r="U42" s="1" t="s">
        <v>47</v>
      </c>
      <c r="V42" s="1" t="s">
        <v>47</v>
      </c>
      <c r="W42" s="1" t="s">
        <v>47</v>
      </c>
      <c r="Z42" s="1">
        <v>0</v>
      </c>
      <c r="AB42" s="1" t="s">
        <v>47</v>
      </c>
      <c r="AD42" s="1">
        <v>462985</v>
      </c>
      <c r="AF42" s="1" t="s">
        <v>47</v>
      </c>
      <c r="AG42" s="1" t="s">
        <v>47</v>
      </c>
      <c r="AH42" s="1" t="s">
        <v>49</v>
      </c>
      <c r="AI42" s="1" t="s">
        <v>47</v>
      </c>
      <c r="AK42" s="1" t="s">
        <v>48</v>
      </c>
      <c r="AL42" s="1" t="s">
        <v>202</v>
      </c>
    </row>
    <row r="43" spans="1:38" s="2" customFormat="1">
      <c r="A43" s="2">
        <v>5136445</v>
      </c>
      <c r="B43" s="2" t="s">
        <v>203</v>
      </c>
      <c r="C43" s="2" t="str">
        <f>"9781408295465"</f>
        <v>9781408295465</v>
      </c>
      <c r="D43" s="2" t="str">
        <f>"9781408295472"</f>
        <v>9781408295472</v>
      </c>
      <c r="E43" s="2" t="s">
        <v>52</v>
      </c>
      <c r="F43" s="2" t="s">
        <v>40</v>
      </c>
      <c r="G43" s="3">
        <v>41311</v>
      </c>
      <c r="H43" s="3">
        <v>1</v>
      </c>
      <c r="I43" s="2" t="s">
        <v>41</v>
      </c>
      <c r="J43" s="2">
        <v>4</v>
      </c>
      <c r="L43" s="2" t="s">
        <v>192</v>
      </c>
      <c r="M43" s="2" t="s">
        <v>162</v>
      </c>
      <c r="O43" s="2">
        <v>345.42</v>
      </c>
      <c r="Q43" s="2" t="s">
        <v>46</v>
      </c>
      <c r="R43" s="2" t="s">
        <v>47</v>
      </c>
      <c r="S43" s="2" t="s">
        <v>47</v>
      </c>
      <c r="T43" s="2" t="s">
        <v>48</v>
      </c>
      <c r="U43" s="2" t="s">
        <v>47</v>
      </c>
      <c r="V43" s="2" t="s">
        <v>47</v>
      </c>
      <c r="W43" s="2" t="s">
        <v>47</v>
      </c>
      <c r="Z43" s="2">
        <v>0</v>
      </c>
      <c r="AB43" s="2" t="s">
        <v>47</v>
      </c>
      <c r="AD43" s="2">
        <v>463018</v>
      </c>
      <c r="AF43" s="2" t="s">
        <v>47</v>
      </c>
      <c r="AG43" s="2" t="s">
        <v>47</v>
      </c>
      <c r="AH43" s="2" t="s">
        <v>49</v>
      </c>
      <c r="AI43" s="2" t="s">
        <v>47</v>
      </c>
      <c r="AK43" s="2" t="s">
        <v>48</v>
      </c>
      <c r="AL43" s="2" t="s">
        <v>204</v>
      </c>
    </row>
    <row r="44" spans="1:38">
      <c r="A44" s="1">
        <v>5136447</v>
      </c>
      <c r="B44" s="1" t="s">
        <v>205</v>
      </c>
      <c r="C44" s="1" t="str">
        <f>"9781292026169"</f>
        <v>9781292026169</v>
      </c>
      <c r="D44" s="1" t="str">
        <f>"9781292038568"</f>
        <v>9781292038568</v>
      </c>
      <c r="E44" s="1" t="s">
        <v>52</v>
      </c>
      <c r="F44" s="1" t="s">
        <v>40</v>
      </c>
      <c r="G44" s="3">
        <v>41484</v>
      </c>
      <c r="H44" s="3">
        <v>1</v>
      </c>
      <c r="I44" s="1" t="s">
        <v>41</v>
      </c>
      <c r="J44" s="1">
        <v>4</v>
      </c>
      <c r="L44" s="1" t="s">
        <v>206</v>
      </c>
      <c r="M44" s="1" t="s">
        <v>207</v>
      </c>
      <c r="O44" s="1">
        <v>660.29899999999998</v>
      </c>
      <c r="Q44" s="1" t="s">
        <v>46</v>
      </c>
      <c r="R44" s="1" t="s">
        <v>47</v>
      </c>
      <c r="S44" s="1" t="s">
        <v>47</v>
      </c>
      <c r="T44" s="1" t="s">
        <v>48</v>
      </c>
      <c r="U44" s="1" t="s">
        <v>47</v>
      </c>
      <c r="V44" s="1" t="s">
        <v>47</v>
      </c>
      <c r="W44" s="1" t="s">
        <v>47</v>
      </c>
      <c r="Z44" s="1">
        <v>0</v>
      </c>
      <c r="AB44" s="1" t="s">
        <v>47</v>
      </c>
      <c r="AD44" s="1">
        <v>527224</v>
      </c>
      <c r="AF44" s="1" t="s">
        <v>47</v>
      </c>
      <c r="AG44" s="1" t="s">
        <v>47</v>
      </c>
      <c r="AH44" s="1" t="s">
        <v>49</v>
      </c>
      <c r="AI44" s="1" t="s">
        <v>47</v>
      </c>
      <c r="AK44" s="1" t="s">
        <v>48</v>
      </c>
      <c r="AL44" s="1" t="s">
        <v>208</v>
      </c>
    </row>
    <row r="45" spans="1:38">
      <c r="A45" s="1">
        <v>5136462</v>
      </c>
      <c r="B45" s="1" t="s">
        <v>209</v>
      </c>
      <c r="C45" s="1" t="str">
        <f>"9780273730224"</f>
        <v>9780273730224</v>
      </c>
      <c r="D45" s="1" t="str">
        <f>"9780273730255"</f>
        <v>9780273730255</v>
      </c>
      <c r="E45" s="1" t="s">
        <v>52</v>
      </c>
      <c r="F45" s="1" t="s">
        <v>67</v>
      </c>
      <c r="G45" s="3">
        <v>40745</v>
      </c>
      <c r="H45" s="3">
        <v>1</v>
      </c>
      <c r="I45" s="1" t="s">
        <v>41</v>
      </c>
      <c r="J45" s="1">
        <v>4</v>
      </c>
      <c r="L45" s="1" t="s">
        <v>210</v>
      </c>
      <c r="M45" s="1" t="s">
        <v>59</v>
      </c>
      <c r="N45" s="1" t="s">
        <v>211</v>
      </c>
      <c r="O45" s="1">
        <v>658.5</v>
      </c>
      <c r="Q45" s="1" t="s">
        <v>46</v>
      </c>
      <c r="R45" s="1" t="s">
        <v>47</v>
      </c>
      <c r="S45" s="1" t="s">
        <v>47</v>
      </c>
      <c r="T45" s="1" t="s">
        <v>48</v>
      </c>
      <c r="U45" s="1" t="s">
        <v>47</v>
      </c>
      <c r="V45" s="1" t="s">
        <v>47</v>
      </c>
      <c r="W45" s="1" t="s">
        <v>47</v>
      </c>
      <c r="Z45" s="1">
        <v>0</v>
      </c>
      <c r="AB45" s="1" t="s">
        <v>47</v>
      </c>
      <c r="AD45" s="1">
        <v>317320</v>
      </c>
      <c r="AF45" s="1" t="s">
        <v>47</v>
      </c>
      <c r="AG45" s="1" t="s">
        <v>47</v>
      </c>
      <c r="AH45" s="1" t="s">
        <v>49</v>
      </c>
      <c r="AI45" s="1" t="s">
        <v>47</v>
      </c>
      <c r="AK45" s="1" t="s">
        <v>48</v>
      </c>
      <c r="AL45" s="1" t="s">
        <v>212</v>
      </c>
    </row>
    <row r="46" spans="1:38">
      <c r="A46" s="1">
        <v>5136467</v>
      </c>
      <c r="B46" s="1" t="s">
        <v>213</v>
      </c>
      <c r="C46" s="1" t="str">
        <f>"9781408271773"</f>
        <v>9781408271773</v>
      </c>
      <c r="D46" s="1" t="str">
        <f>"9781408271780"</f>
        <v>9781408271780</v>
      </c>
      <c r="E46" s="1" t="s">
        <v>52</v>
      </c>
      <c r="F46" s="1" t="s">
        <v>40</v>
      </c>
      <c r="G46" s="3">
        <v>41194</v>
      </c>
      <c r="H46" s="3">
        <v>1</v>
      </c>
      <c r="I46" s="1" t="s">
        <v>41</v>
      </c>
      <c r="J46" s="1">
        <v>3</v>
      </c>
      <c r="L46" s="1" t="s">
        <v>214</v>
      </c>
      <c r="M46" s="1" t="s">
        <v>162</v>
      </c>
      <c r="O46" s="1">
        <v>344.42041075999998</v>
      </c>
      <c r="Q46" s="1" t="s">
        <v>46</v>
      </c>
      <c r="R46" s="1" t="s">
        <v>47</v>
      </c>
      <c r="S46" s="1" t="s">
        <v>47</v>
      </c>
      <c r="T46" s="1" t="s">
        <v>48</v>
      </c>
      <c r="U46" s="1" t="s">
        <v>47</v>
      </c>
      <c r="V46" s="1" t="s">
        <v>47</v>
      </c>
      <c r="W46" s="1" t="s">
        <v>47</v>
      </c>
      <c r="Z46" s="1">
        <v>0</v>
      </c>
      <c r="AB46" s="1" t="s">
        <v>47</v>
      </c>
      <c r="AD46" s="1">
        <v>399634</v>
      </c>
      <c r="AF46" s="1" t="s">
        <v>47</v>
      </c>
      <c r="AG46" s="1" t="s">
        <v>47</v>
      </c>
      <c r="AH46" s="1" t="s">
        <v>49</v>
      </c>
      <c r="AI46" s="1" t="s">
        <v>47</v>
      </c>
      <c r="AK46" s="1" t="s">
        <v>48</v>
      </c>
      <c r="AL46" s="1" t="s">
        <v>215</v>
      </c>
    </row>
    <row r="47" spans="1:38">
      <c r="A47" s="1">
        <v>5136468</v>
      </c>
      <c r="B47" s="1" t="s">
        <v>216</v>
      </c>
      <c r="C47" s="1" t="str">
        <f>"9781408295403"</f>
        <v>9781408295403</v>
      </c>
      <c r="D47" s="1" t="str">
        <f>"9781408295410"</f>
        <v>9781408295410</v>
      </c>
      <c r="E47" s="1" t="s">
        <v>52</v>
      </c>
      <c r="F47" s="1" t="s">
        <v>40</v>
      </c>
      <c r="G47" s="3">
        <v>41194</v>
      </c>
      <c r="H47" s="3">
        <v>1</v>
      </c>
      <c r="I47" s="1" t="s">
        <v>41</v>
      </c>
      <c r="J47" s="1">
        <v>4</v>
      </c>
      <c r="L47" s="1" t="s">
        <v>214</v>
      </c>
      <c r="M47" s="1" t="s">
        <v>162</v>
      </c>
      <c r="O47" s="1">
        <v>346.42014999999998</v>
      </c>
      <c r="Q47" s="1" t="s">
        <v>46</v>
      </c>
      <c r="R47" s="1" t="s">
        <v>47</v>
      </c>
      <c r="S47" s="1" t="s">
        <v>47</v>
      </c>
      <c r="T47" s="1" t="s">
        <v>48</v>
      </c>
      <c r="U47" s="1" t="s">
        <v>47</v>
      </c>
      <c r="V47" s="1" t="s">
        <v>47</v>
      </c>
      <c r="W47" s="1" t="s">
        <v>47</v>
      </c>
      <c r="Z47" s="1">
        <v>0</v>
      </c>
      <c r="AB47" s="1" t="s">
        <v>47</v>
      </c>
      <c r="AD47" s="1">
        <v>399640</v>
      </c>
      <c r="AF47" s="1" t="s">
        <v>47</v>
      </c>
      <c r="AG47" s="1" t="s">
        <v>47</v>
      </c>
      <c r="AH47" s="1" t="s">
        <v>49</v>
      </c>
      <c r="AI47" s="1" t="s">
        <v>47</v>
      </c>
      <c r="AK47" s="1" t="s">
        <v>48</v>
      </c>
      <c r="AL47" s="1" t="s">
        <v>217</v>
      </c>
    </row>
    <row r="48" spans="1:38">
      <c r="A48" s="1">
        <v>5136471</v>
      </c>
      <c r="B48" s="1" t="s">
        <v>218</v>
      </c>
      <c r="C48" s="1" t="str">
        <f>"9780273743897"</f>
        <v>9780273743897</v>
      </c>
      <c r="D48" s="1" t="str">
        <f>"9780273743910"</f>
        <v>9780273743910</v>
      </c>
      <c r="E48" s="1" t="s">
        <v>52</v>
      </c>
      <c r="F48" s="1" t="s">
        <v>57</v>
      </c>
      <c r="G48" s="3">
        <v>40630</v>
      </c>
      <c r="H48" s="3">
        <v>1</v>
      </c>
      <c r="I48" s="1" t="s">
        <v>41</v>
      </c>
      <c r="J48" s="1">
        <v>4</v>
      </c>
      <c r="L48" s="1" t="s">
        <v>219</v>
      </c>
      <c r="M48" s="1" t="s">
        <v>59</v>
      </c>
      <c r="N48" s="1" t="s">
        <v>220</v>
      </c>
      <c r="O48" s="1">
        <v>650.14</v>
      </c>
      <c r="Q48" s="1" t="s">
        <v>46</v>
      </c>
      <c r="R48" s="1" t="s">
        <v>47</v>
      </c>
      <c r="S48" s="1" t="s">
        <v>47</v>
      </c>
      <c r="T48" s="1" t="s">
        <v>48</v>
      </c>
      <c r="U48" s="1" t="s">
        <v>47</v>
      </c>
      <c r="V48" s="1" t="s">
        <v>47</v>
      </c>
      <c r="W48" s="1" t="s">
        <v>47</v>
      </c>
      <c r="Z48" s="1">
        <v>0</v>
      </c>
      <c r="AB48" s="1" t="s">
        <v>47</v>
      </c>
      <c r="AD48" s="1">
        <v>305621</v>
      </c>
      <c r="AF48" s="1" t="s">
        <v>47</v>
      </c>
      <c r="AG48" s="1" t="s">
        <v>47</v>
      </c>
      <c r="AH48" s="1" t="s">
        <v>49</v>
      </c>
      <c r="AI48" s="1" t="s">
        <v>47</v>
      </c>
      <c r="AK48" s="1" t="s">
        <v>48</v>
      </c>
      <c r="AL48" s="1" t="s">
        <v>221</v>
      </c>
    </row>
    <row r="49" spans="1:38">
      <c r="A49" s="1">
        <v>5136476</v>
      </c>
      <c r="B49" s="1" t="s">
        <v>222</v>
      </c>
      <c r="C49" s="1" t="str">
        <f>"9780273726074"</f>
        <v>9780273726074</v>
      </c>
      <c r="D49" s="1" t="str">
        <f>"9780273726098"</f>
        <v>9780273726098</v>
      </c>
      <c r="E49" s="1" t="s">
        <v>52</v>
      </c>
      <c r="F49" s="1" t="s">
        <v>157</v>
      </c>
      <c r="G49" s="3">
        <v>40689</v>
      </c>
      <c r="H49" s="3">
        <v>43335</v>
      </c>
      <c r="I49" s="1" t="s">
        <v>41</v>
      </c>
      <c r="J49" s="1">
        <v>3</v>
      </c>
      <c r="L49" s="1" t="s">
        <v>223</v>
      </c>
      <c r="M49" s="1" t="s">
        <v>100</v>
      </c>
      <c r="N49" s="1" t="s">
        <v>224</v>
      </c>
      <c r="O49" s="1">
        <v>150.72</v>
      </c>
      <c r="Q49" s="1" t="s">
        <v>46</v>
      </c>
      <c r="R49" s="1" t="s">
        <v>47</v>
      </c>
      <c r="S49" s="1" t="s">
        <v>47</v>
      </c>
      <c r="T49" s="1" t="s">
        <v>48</v>
      </c>
      <c r="U49" s="1" t="s">
        <v>47</v>
      </c>
      <c r="V49" s="1" t="s">
        <v>47</v>
      </c>
      <c r="W49" s="1" t="s">
        <v>47</v>
      </c>
      <c r="Z49" s="1">
        <v>0</v>
      </c>
      <c r="AB49" s="1" t="s">
        <v>47</v>
      </c>
      <c r="AD49" s="1">
        <v>311478</v>
      </c>
      <c r="AF49" s="1" t="s">
        <v>47</v>
      </c>
      <c r="AG49" s="1" t="s">
        <v>47</v>
      </c>
      <c r="AH49" s="1" t="s">
        <v>49</v>
      </c>
      <c r="AI49" s="1" t="s">
        <v>47</v>
      </c>
      <c r="AK49" s="1" t="s">
        <v>48</v>
      </c>
      <c r="AL49" s="1" t="s">
        <v>225</v>
      </c>
    </row>
    <row r="50" spans="1:38">
      <c r="A50" s="1">
        <v>5136477</v>
      </c>
      <c r="B50" s="1" t="s">
        <v>226</v>
      </c>
      <c r="C50" s="1" t="str">
        <f>"9780273734260"</f>
        <v>9780273734260</v>
      </c>
      <c r="D50" s="1" t="str">
        <f>"9780273734291"</f>
        <v>9780273734291</v>
      </c>
      <c r="E50" s="1" t="s">
        <v>52</v>
      </c>
      <c r="F50" s="1" t="s">
        <v>157</v>
      </c>
      <c r="G50" s="3">
        <v>40807</v>
      </c>
      <c r="H50" s="3">
        <v>1</v>
      </c>
      <c r="I50" s="1" t="s">
        <v>41</v>
      </c>
      <c r="J50" s="1">
        <v>5</v>
      </c>
      <c r="L50" s="1" t="s">
        <v>223</v>
      </c>
      <c r="M50" s="1" t="s">
        <v>100</v>
      </c>
      <c r="N50" s="1" t="s">
        <v>227</v>
      </c>
      <c r="O50" s="1">
        <v>150.15195</v>
      </c>
      <c r="Q50" s="1" t="s">
        <v>46</v>
      </c>
      <c r="R50" s="1" t="s">
        <v>47</v>
      </c>
      <c r="S50" s="1" t="s">
        <v>47</v>
      </c>
      <c r="T50" s="1" t="s">
        <v>48</v>
      </c>
      <c r="U50" s="1" t="s">
        <v>47</v>
      </c>
      <c r="V50" s="1" t="s">
        <v>47</v>
      </c>
      <c r="W50" s="1" t="s">
        <v>47</v>
      </c>
      <c r="Z50" s="1">
        <v>0</v>
      </c>
      <c r="AB50" s="1" t="s">
        <v>47</v>
      </c>
      <c r="AD50" s="1">
        <v>327536</v>
      </c>
      <c r="AF50" s="1" t="s">
        <v>47</v>
      </c>
      <c r="AG50" s="1" t="s">
        <v>47</v>
      </c>
      <c r="AH50" s="1" t="s">
        <v>49</v>
      </c>
      <c r="AI50" s="1" t="s">
        <v>47</v>
      </c>
      <c r="AK50" s="1" t="s">
        <v>48</v>
      </c>
      <c r="AL50" s="1" t="s">
        <v>228</v>
      </c>
    </row>
    <row r="51" spans="1:38">
      <c r="A51" s="1">
        <v>5136482</v>
      </c>
      <c r="B51" s="1" t="s">
        <v>229</v>
      </c>
      <c r="C51" s="1" t="str">
        <f>"9780273757252"</f>
        <v>9780273757252</v>
      </c>
      <c r="D51" s="1" t="str">
        <f>"9780273758600"</f>
        <v>9780273758600</v>
      </c>
      <c r="E51" s="1" t="s">
        <v>52</v>
      </c>
      <c r="F51" s="1" t="s">
        <v>67</v>
      </c>
      <c r="G51" s="3">
        <v>41339</v>
      </c>
      <c r="H51" s="3">
        <v>1</v>
      </c>
      <c r="I51" s="1" t="s">
        <v>41</v>
      </c>
      <c r="J51" s="1">
        <v>2</v>
      </c>
      <c r="L51" s="1" t="s">
        <v>230</v>
      </c>
      <c r="M51" s="1" t="s">
        <v>59</v>
      </c>
      <c r="N51" s="1" t="s">
        <v>231</v>
      </c>
      <c r="O51" s="1">
        <v>658.40120000000002</v>
      </c>
      <c r="Q51" s="1" t="s">
        <v>46</v>
      </c>
      <c r="R51" s="1" t="s">
        <v>47</v>
      </c>
      <c r="S51" s="1" t="s">
        <v>47</v>
      </c>
      <c r="T51" s="1" t="s">
        <v>48</v>
      </c>
      <c r="U51" s="1" t="s">
        <v>47</v>
      </c>
      <c r="V51" s="1" t="s">
        <v>47</v>
      </c>
      <c r="W51" s="1" t="s">
        <v>47</v>
      </c>
      <c r="Z51" s="1">
        <v>0</v>
      </c>
      <c r="AB51" s="1" t="s">
        <v>47</v>
      </c>
      <c r="AD51" s="1">
        <v>463044</v>
      </c>
      <c r="AF51" s="1" t="s">
        <v>47</v>
      </c>
      <c r="AG51" s="1" t="s">
        <v>47</v>
      </c>
      <c r="AH51" s="1" t="s">
        <v>49</v>
      </c>
      <c r="AI51" s="1" t="s">
        <v>47</v>
      </c>
      <c r="AK51" s="1" t="s">
        <v>48</v>
      </c>
      <c r="AL51" s="1" t="s">
        <v>232</v>
      </c>
    </row>
    <row r="52" spans="1:38">
      <c r="A52" s="1">
        <v>5136483</v>
      </c>
      <c r="B52" s="1" t="s">
        <v>233</v>
      </c>
      <c r="C52" s="1" t="str">
        <f>"9781292025438"</f>
        <v>9781292025438</v>
      </c>
      <c r="D52" s="1" t="str">
        <f>"9781292037936"</f>
        <v>9781292037936</v>
      </c>
      <c r="E52" s="1" t="s">
        <v>52</v>
      </c>
      <c r="F52" s="1" t="s">
        <v>40</v>
      </c>
      <c r="G52" s="3">
        <v>41515</v>
      </c>
      <c r="H52" s="3">
        <v>1</v>
      </c>
      <c r="I52" s="1" t="s">
        <v>41</v>
      </c>
      <c r="J52" s="1">
        <v>2</v>
      </c>
      <c r="L52" s="1" t="s">
        <v>234</v>
      </c>
      <c r="Q52" s="1" t="s">
        <v>46</v>
      </c>
      <c r="R52" s="1" t="s">
        <v>47</v>
      </c>
      <c r="S52" s="1" t="s">
        <v>47</v>
      </c>
      <c r="T52" s="1" t="s">
        <v>48</v>
      </c>
      <c r="U52" s="1" t="s">
        <v>47</v>
      </c>
      <c r="V52" s="1" t="s">
        <v>47</v>
      </c>
      <c r="W52" s="1" t="s">
        <v>47</v>
      </c>
      <c r="Z52" s="1">
        <v>0</v>
      </c>
      <c r="AB52" s="1" t="s">
        <v>47</v>
      </c>
      <c r="AD52" s="1">
        <v>527372</v>
      </c>
      <c r="AF52" s="1" t="s">
        <v>47</v>
      </c>
      <c r="AG52" s="1" t="s">
        <v>47</v>
      </c>
      <c r="AH52" s="1" t="s">
        <v>49</v>
      </c>
      <c r="AI52" s="1" t="s">
        <v>47</v>
      </c>
      <c r="AK52" s="1" t="s">
        <v>48</v>
      </c>
      <c r="AL52" s="1" t="s">
        <v>235</v>
      </c>
    </row>
    <row r="53" spans="1:38">
      <c r="A53" s="1">
        <v>5136490</v>
      </c>
      <c r="B53" s="1" t="s">
        <v>236</v>
      </c>
      <c r="C53" s="1" t="str">
        <f>"9781408295281"</f>
        <v>9781408295281</v>
      </c>
      <c r="D53" s="1" t="str">
        <f>"9781408295298"</f>
        <v>9781408295298</v>
      </c>
      <c r="E53" s="1" t="s">
        <v>52</v>
      </c>
      <c r="F53" s="1" t="s">
        <v>40</v>
      </c>
      <c r="G53" s="3">
        <v>41194</v>
      </c>
      <c r="H53" s="3">
        <v>1</v>
      </c>
      <c r="I53" s="1" t="s">
        <v>41</v>
      </c>
      <c r="J53" s="1">
        <v>3</v>
      </c>
      <c r="L53" s="1" t="s">
        <v>237</v>
      </c>
      <c r="M53" s="1" t="s">
        <v>162</v>
      </c>
      <c r="N53" s="1" t="s">
        <v>238</v>
      </c>
      <c r="O53" s="1">
        <v>341.24220000000003</v>
      </c>
      <c r="Q53" s="1" t="s">
        <v>46</v>
      </c>
      <c r="R53" s="1" t="s">
        <v>47</v>
      </c>
      <c r="S53" s="1" t="s">
        <v>47</v>
      </c>
      <c r="T53" s="1" t="s">
        <v>48</v>
      </c>
      <c r="U53" s="1" t="s">
        <v>47</v>
      </c>
      <c r="V53" s="1" t="s">
        <v>47</v>
      </c>
      <c r="W53" s="1" t="s">
        <v>47</v>
      </c>
      <c r="Z53" s="1">
        <v>0</v>
      </c>
      <c r="AB53" s="1" t="s">
        <v>47</v>
      </c>
      <c r="AD53" s="1">
        <v>399646</v>
      </c>
      <c r="AF53" s="1" t="s">
        <v>47</v>
      </c>
      <c r="AG53" s="1" t="s">
        <v>47</v>
      </c>
      <c r="AH53" s="1" t="s">
        <v>49</v>
      </c>
      <c r="AI53" s="1" t="s">
        <v>47</v>
      </c>
      <c r="AK53" s="1" t="s">
        <v>48</v>
      </c>
      <c r="AL53" s="1" t="s">
        <v>239</v>
      </c>
    </row>
    <row r="54" spans="1:38">
      <c r="A54" s="1">
        <v>5136496</v>
      </c>
      <c r="B54" s="1" t="s">
        <v>240</v>
      </c>
      <c r="C54" s="1" t="str">
        <f>"9781292024752"</f>
        <v>9781292024752</v>
      </c>
      <c r="D54" s="1" t="str">
        <f>"9781292037424"</f>
        <v>9781292037424</v>
      </c>
      <c r="E54" s="1" t="s">
        <v>52</v>
      </c>
      <c r="F54" s="1" t="s">
        <v>40</v>
      </c>
      <c r="G54" s="3">
        <v>41515</v>
      </c>
      <c r="H54" s="3">
        <v>1</v>
      </c>
      <c r="I54" s="1" t="s">
        <v>41</v>
      </c>
      <c r="J54" s="1">
        <v>5</v>
      </c>
      <c r="L54" s="1" t="s">
        <v>241</v>
      </c>
      <c r="M54" s="1" t="s">
        <v>242</v>
      </c>
      <c r="O54" s="1">
        <v>519.5</v>
      </c>
      <c r="Q54" s="1" t="s">
        <v>46</v>
      </c>
      <c r="R54" s="1" t="s">
        <v>47</v>
      </c>
      <c r="S54" s="1" t="s">
        <v>47</v>
      </c>
      <c r="T54" s="1" t="s">
        <v>48</v>
      </c>
      <c r="U54" s="1" t="s">
        <v>47</v>
      </c>
      <c r="V54" s="1" t="s">
        <v>47</v>
      </c>
      <c r="W54" s="1" t="s">
        <v>47</v>
      </c>
      <c r="Z54" s="1">
        <v>0</v>
      </c>
      <c r="AB54" s="1" t="s">
        <v>47</v>
      </c>
      <c r="AD54" s="1">
        <v>527149</v>
      </c>
      <c r="AF54" s="1" t="s">
        <v>47</v>
      </c>
      <c r="AG54" s="1" t="s">
        <v>47</v>
      </c>
      <c r="AH54" s="1" t="s">
        <v>49</v>
      </c>
      <c r="AI54" s="1" t="s">
        <v>47</v>
      </c>
      <c r="AK54" s="1" t="s">
        <v>48</v>
      </c>
      <c r="AL54" s="1" t="s">
        <v>243</v>
      </c>
    </row>
    <row r="55" spans="1:38">
      <c r="A55" s="1">
        <v>5136497</v>
      </c>
      <c r="B55" s="1" t="s">
        <v>244</v>
      </c>
      <c r="C55" s="1" t="str">
        <f>"9780273779353"</f>
        <v>9780273779353</v>
      </c>
      <c r="D55" s="1" t="str">
        <f>"9780273780052"</f>
        <v>9780273780052</v>
      </c>
      <c r="E55" s="1" t="s">
        <v>52</v>
      </c>
      <c r="F55" s="1" t="s">
        <v>40</v>
      </c>
      <c r="G55" s="3">
        <v>41306</v>
      </c>
      <c r="H55" s="3">
        <v>1</v>
      </c>
      <c r="I55" s="1" t="s">
        <v>41</v>
      </c>
      <c r="J55" s="1">
        <v>9</v>
      </c>
      <c r="L55" s="1" t="s">
        <v>245</v>
      </c>
      <c r="M55" s="1" t="s">
        <v>59</v>
      </c>
      <c r="O55" s="1">
        <v>658.87199999999996</v>
      </c>
      <c r="Q55" s="1" t="s">
        <v>46</v>
      </c>
      <c r="R55" s="1" t="s">
        <v>47</v>
      </c>
      <c r="S55" s="1" t="s">
        <v>47</v>
      </c>
      <c r="T55" s="1" t="s">
        <v>48</v>
      </c>
      <c r="U55" s="1" t="s">
        <v>47</v>
      </c>
      <c r="V55" s="1" t="s">
        <v>47</v>
      </c>
      <c r="W55" s="1" t="s">
        <v>47</v>
      </c>
      <c r="Z55" s="1">
        <v>0</v>
      </c>
      <c r="AB55" s="1" t="s">
        <v>47</v>
      </c>
      <c r="AD55" s="1">
        <v>523712</v>
      </c>
      <c r="AF55" s="1" t="s">
        <v>47</v>
      </c>
      <c r="AG55" s="1" t="s">
        <v>47</v>
      </c>
      <c r="AH55" s="1" t="s">
        <v>49</v>
      </c>
      <c r="AI55" s="1" t="s">
        <v>47</v>
      </c>
      <c r="AK55" s="1" t="s">
        <v>48</v>
      </c>
      <c r="AL55" s="1" t="s">
        <v>246</v>
      </c>
    </row>
    <row r="56" spans="1:38">
      <c r="A56" s="1">
        <v>5136499</v>
      </c>
      <c r="B56" s="1" t="s">
        <v>247</v>
      </c>
      <c r="C56" s="1" t="str">
        <f>"9781292020556"</f>
        <v>9781292020556</v>
      </c>
      <c r="D56" s="1" t="str">
        <f>"9781292028316"</f>
        <v>9781292028316</v>
      </c>
      <c r="E56" s="1" t="s">
        <v>52</v>
      </c>
      <c r="F56" s="1" t="s">
        <v>40</v>
      </c>
      <c r="G56" s="3">
        <v>41579</v>
      </c>
      <c r="H56" s="3">
        <v>1</v>
      </c>
      <c r="I56" s="1" t="s">
        <v>41</v>
      </c>
      <c r="J56" s="1">
        <v>4</v>
      </c>
      <c r="L56" s="1" t="s">
        <v>248</v>
      </c>
      <c r="M56" s="1" t="s">
        <v>242</v>
      </c>
      <c r="O56" s="1">
        <v>512.5</v>
      </c>
      <c r="Q56" s="1" t="s">
        <v>46</v>
      </c>
      <c r="R56" s="1" t="s">
        <v>47</v>
      </c>
      <c r="S56" s="1" t="s">
        <v>47</v>
      </c>
      <c r="T56" s="1" t="s">
        <v>48</v>
      </c>
      <c r="U56" s="1" t="s">
        <v>47</v>
      </c>
      <c r="V56" s="1" t="s">
        <v>47</v>
      </c>
      <c r="W56" s="1" t="s">
        <v>47</v>
      </c>
      <c r="Z56" s="1">
        <v>0</v>
      </c>
      <c r="AB56" s="1" t="s">
        <v>47</v>
      </c>
      <c r="AD56" s="1">
        <v>527129</v>
      </c>
      <c r="AF56" s="1" t="s">
        <v>47</v>
      </c>
      <c r="AG56" s="1" t="s">
        <v>47</v>
      </c>
      <c r="AH56" s="1" t="s">
        <v>49</v>
      </c>
      <c r="AI56" s="1" t="s">
        <v>47</v>
      </c>
      <c r="AK56" s="1" t="s">
        <v>48</v>
      </c>
      <c r="AL56" s="1" t="s">
        <v>249</v>
      </c>
    </row>
    <row r="57" spans="1:38">
      <c r="A57" s="1">
        <v>5136501</v>
      </c>
      <c r="B57" s="1" t="s">
        <v>250</v>
      </c>
      <c r="C57" s="1" t="str">
        <f>"9780273724926"</f>
        <v>9780273724926</v>
      </c>
      <c r="D57" s="1" t="str">
        <f>"9780273725954"</f>
        <v>9780273725954</v>
      </c>
      <c r="E57" s="1" t="s">
        <v>52</v>
      </c>
      <c r="F57" s="1" t="s">
        <v>57</v>
      </c>
      <c r="G57" s="3">
        <v>40205</v>
      </c>
      <c r="H57" s="3">
        <v>1</v>
      </c>
      <c r="I57" s="1" t="s">
        <v>41</v>
      </c>
      <c r="J57" s="1">
        <v>1</v>
      </c>
      <c r="L57" s="1" t="s">
        <v>251</v>
      </c>
      <c r="M57" s="1" t="s">
        <v>59</v>
      </c>
      <c r="N57" s="1" t="s">
        <v>252</v>
      </c>
      <c r="O57" s="1">
        <v>658</v>
      </c>
      <c r="Q57" s="1" t="s">
        <v>46</v>
      </c>
      <c r="R57" s="1" t="s">
        <v>47</v>
      </c>
      <c r="S57" s="1" t="s">
        <v>47</v>
      </c>
      <c r="T57" s="1" t="s">
        <v>48</v>
      </c>
      <c r="U57" s="1" t="s">
        <v>47</v>
      </c>
      <c r="V57" s="1" t="s">
        <v>47</v>
      </c>
      <c r="W57" s="1" t="s">
        <v>47</v>
      </c>
      <c r="Z57" s="1">
        <v>0</v>
      </c>
      <c r="AB57" s="1" t="s">
        <v>47</v>
      </c>
      <c r="AD57" s="1">
        <v>231768</v>
      </c>
      <c r="AF57" s="1" t="s">
        <v>47</v>
      </c>
      <c r="AG57" s="1" t="s">
        <v>47</v>
      </c>
      <c r="AH57" s="1" t="s">
        <v>49</v>
      </c>
      <c r="AI57" s="1" t="s">
        <v>47</v>
      </c>
      <c r="AK57" s="1" t="s">
        <v>48</v>
      </c>
      <c r="AL57" s="1" t="s">
        <v>253</v>
      </c>
    </row>
    <row r="58" spans="1:38" s="2" customFormat="1">
      <c r="A58" s="2">
        <v>5136511</v>
      </c>
      <c r="B58" s="2" t="s">
        <v>254</v>
      </c>
      <c r="C58" s="2" t="str">
        <f>"9780273727798"</f>
        <v>9780273727798</v>
      </c>
      <c r="D58" s="2" t="str">
        <f>"9780273727804"</f>
        <v>9780273727804</v>
      </c>
      <c r="E58" s="2" t="s">
        <v>52</v>
      </c>
      <c r="F58" s="2" t="s">
        <v>67</v>
      </c>
      <c r="G58" s="3">
        <v>40269</v>
      </c>
      <c r="H58" s="3">
        <v>1</v>
      </c>
      <c r="I58" s="2" t="s">
        <v>41</v>
      </c>
      <c r="J58" s="2">
        <v>1</v>
      </c>
      <c r="L58" s="2" t="s">
        <v>255</v>
      </c>
      <c r="M58" s="2" t="s">
        <v>256</v>
      </c>
      <c r="N58" s="2" t="s">
        <v>257</v>
      </c>
      <c r="O58" s="2">
        <v>332.024</v>
      </c>
      <c r="P58" s="2" t="s">
        <v>258</v>
      </c>
      <c r="Q58" s="2" t="s">
        <v>46</v>
      </c>
      <c r="R58" s="2" t="s">
        <v>47</v>
      </c>
      <c r="S58" s="2" t="s">
        <v>47</v>
      </c>
      <c r="T58" s="2" t="s">
        <v>48</v>
      </c>
      <c r="U58" s="2" t="s">
        <v>47</v>
      </c>
      <c r="V58" s="2" t="s">
        <v>47</v>
      </c>
      <c r="W58" s="2" t="s">
        <v>47</v>
      </c>
      <c r="Z58" s="2">
        <v>0</v>
      </c>
      <c r="AB58" s="2" t="s">
        <v>47</v>
      </c>
      <c r="AD58" s="2">
        <v>264545</v>
      </c>
      <c r="AF58" s="2" t="s">
        <v>47</v>
      </c>
      <c r="AG58" s="2" t="s">
        <v>47</v>
      </c>
      <c r="AH58" s="2" t="s">
        <v>49</v>
      </c>
      <c r="AI58" s="2" t="s">
        <v>47</v>
      </c>
      <c r="AK58" s="2" t="s">
        <v>48</v>
      </c>
      <c r="AL58" s="2" t="s">
        <v>259</v>
      </c>
    </row>
    <row r="59" spans="1:38">
      <c r="A59" s="1">
        <v>5136517</v>
      </c>
      <c r="B59" s="1" t="s">
        <v>260</v>
      </c>
      <c r="C59" s="1" t="str">
        <f>"9781408292747"</f>
        <v>9781408292747</v>
      </c>
      <c r="D59" s="1" t="str">
        <f>"9781408292761"</f>
        <v>9781408292761</v>
      </c>
      <c r="E59" s="1" t="s">
        <v>52</v>
      </c>
      <c r="F59" s="1" t="s">
        <v>40</v>
      </c>
      <c r="G59" s="3">
        <v>41128</v>
      </c>
      <c r="H59" s="3">
        <v>1</v>
      </c>
      <c r="I59" s="1" t="s">
        <v>41</v>
      </c>
      <c r="J59" s="1">
        <v>6</v>
      </c>
      <c r="L59" s="1" t="s">
        <v>261</v>
      </c>
      <c r="M59" s="1" t="s">
        <v>162</v>
      </c>
      <c r="O59" s="1">
        <v>346.42070000000001</v>
      </c>
      <c r="Q59" s="1" t="s">
        <v>46</v>
      </c>
      <c r="R59" s="1" t="s">
        <v>47</v>
      </c>
      <c r="S59" s="1" t="s">
        <v>47</v>
      </c>
      <c r="T59" s="1" t="s">
        <v>48</v>
      </c>
      <c r="U59" s="1" t="s">
        <v>47</v>
      </c>
      <c r="V59" s="1" t="s">
        <v>47</v>
      </c>
      <c r="W59" s="1" t="s">
        <v>47</v>
      </c>
      <c r="Z59" s="1">
        <v>0</v>
      </c>
      <c r="AB59" s="1" t="s">
        <v>47</v>
      </c>
      <c r="AD59" s="1">
        <v>385409</v>
      </c>
      <c r="AF59" s="1" t="s">
        <v>47</v>
      </c>
      <c r="AG59" s="1" t="s">
        <v>47</v>
      </c>
      <c r="AH59" s="1" t="s">
        <v>49</v>
      </c>
      <c r="AI59" s="1" t="s">
        <v>47</v>
      </c>
      <c r="AK59" s="1" t="s">
        <v>48</v>
      </c>
      <c r="AL59" s="1" t="s">
        <v>262</v>
      </c>
    </row>
    <row r="60" spans="1:38">
      <c r="A60" s="1">
        <v>5136518</v>
      </c>
      <c r="B60" s="1" t="s">
        <v>263</v>
      </c>
      <c r="C60" s="1" t="str">
        <f>"9781447900733"</f>
        <v>9781447900733</v>
      </c>
      <c r="D60" s="1" t="str">
        <f>"9781447900740"</f>
        <v>9781447900740</v>
      </c>
      <c r="E60" s="1" t="s">
        <v>52</v>
      </c>
      <c r="F60" s="1" t="s">
        <v>40</v>
      </c>
      <c r="G60" s="3">
        <v>41194</v>
      </c>
      <c r="H60" s="3">
        <v>1</v>
      </c>
      <c r="I60" s="1" t="s">
        <v>41</v>
      </c>
      <c r="J60" s="1">
        <v>3</v>
      </c>
      <c r="K60" s="1" t="s">
        <v>200</v>
      </c>
      <c r="L60" s="1" t="s">
        <v>261</v>
      </c>
      <c r="M60" s="1" t="s">
        <v>162</v>
      </c>
      <c r="N60" s="1" t="s">
        <v>264</v>
      </c>
      <c r="O60" s="1">
        <v>346.42070000000001</v>
      </c>
      <c r="Q60" s="1" t="s">
        <v>46</v>
      </c>
      <c r="R60" s="1" t="s">
        <v>47</v>
      </c>
      <c r="S60" s="1" t="s">
        <v>47</v>
      </c>
      <c r="T60" s="1" t="s">
        <v>48</v>
      </c>
      <c r="U60" s="1" t="s">
        <v>47</v>
      </c>
      <c r="V60" s="1" t="s">
        <v>47</v>
      </c>
      <c r="W60" s="1" t="s">
        <v>47</v>
      </c>
      <c r="Z60" s="1">
        <v>0</v>
      </c>
      <c r="AB60" s="1" t="s">
        <v>47</v>
      </c>
      <c r="AD60" s="1">
        <v>399632</v>
      </c>
      <c r="AF60" s="1" t="s">
        <v>47</v>
      </c>
      <c r="AG60" s="1" t="s">
        <v>47</v>
      </c>
      <c r="AH60" s="1" t="s">
        <v>49</v>
      </c>
      <c r="AI60" s="1" t="s">
        <v>47</v>
      </c>
      <c r="AK60" s="1" t="s">
        <v>48</v>
      </c>
      <c r="AL60" s="1" t="s">
        <v>265</v>
      </c>
    </row>
    <row r="61" spans="1:38">
      <c r="A61" s="1">
        <v>5136521</v>
      </c>
      <c r="B61" s="1" t="s">
        <v>266</v>
      </c>
      <c r="C61" s="1" t="str">
        <f>"9780273720737"</f>
        <v>9780273720737</v>
      </c>
      <c r="D61" s="1" t="str">
        <f>"9780273726920"</f>
        <v>9780273726920</v>
      </c>
      <c r="E61" s="1" t="s">
        <v>52</v>
      </c>
      <c r="F61" s="1" t="s">
        <v>195</v>
      </c>
      <c r="G61" s="3">
        <v>39989</v>
      </c>
      <c r="H61" s="3">
        <v>1</v>
      </c>
      <c r="I61" s="1" t="s">
        <v>41</v>
      </c>
      <c r="J61" s="1">
        <v>1</v>
      </c>
      <c r="L61" s="1" t="s">
        <v>267</v>
      </c>
      <c r="M61" s="1" t="s">
        <v>268</v>
      </c>
      <c r="N61" s="1" t="s">
        <v>269</v>
      </c>
      <c r="O61" s="1">
        <v>507.11</v>
      </c>
      <c r="Q61" s="1" t="s">
        <v>46</v>
      </c>
      <c r="R61" s="1" t="s">
        <v>47</v>
      </c>
      <c r="S61" s="1" t="s">
        <v>47</v>
      </c>
      <c r="T61" s="1" t="s">
        <v>48</v>
      </c>
      <c r="U61" s="1" t="s">
        <v>47</v>
      </c>
      <c r="V61" s="1" t="s">
        <v>47</v>
      </c>
      <c r="W61" s="1" t="s">
        <v>47</v>
      </c>
      <c r="Z61" s="1">
        <v>0</v>
      </c>
      <c r="AB61" s="1" t="s">
        <v>47</v>
      </c>
      <c r="AD61" s="1">
        <v>253010</v>
      </c>
      <c r="AF61" s="1" t="s">
        <v>47</v>
      </c>
      <c r="AG61" s="1" t="s">
        <v>47</v>
      </c>
      <c r="AH61" s="1" t="s">
        <v>49</v>
      </c>
      <c r="AI61" s="1" t="s">
        <v>47</v>
      </c>
      <c r="AK61" s="1" t="s">
        <v>48</v>
      </c>
      <c r="AL61" s="1" t="s">
        <v>270</v>
      </c>
    </row>
    <row r="62" spans="1:38">
      <c r="A62" s="1">
        <v>5136525</v>
      </c>
      <c r="B62" s="1" t="s">
        <v>100</v>
      </c>
      <c r="C62" s="1" t="str">
        <f>"9780273720119"</f>
        <v>9780273720119</v>
      </c>
      <c r="D62" s="1" t="str">
        <f>"9780273720195"</f>
        <v>9780273720195</v>
      </c>
      <c r="E62" s="1" t="s">
        <v>52</v>
      </c>
      <c r="F62" s="1" t="s">
        <v>271</v>
      </c>
      <c r="G62" s="3">
        <v>40553</v>
      </c>
      <c r="H62" s="3">
        <v>1</v>
      </c>
      <c r="I62" s="1" t="s">
        <v>41</v>
      </c>
      <c r="J62" s="1">
        <v>4</v>
      </c>
      <c r="L62" s="1" t="s">
        <v>272</v>
      </c>
      <c r="M62" s="1" t="s">
        <v>100</v>
      </c>
      <c r="O62" s="1">
        <v>150</v>
      </c>
      <c r="Q62" s="1" t="s">
        <v>46</v>
      </c>
      <c r="R62" s="1" t="s">
        <v>47</v>
      </c>
      <c r="S62" s="1" t="s">
        <v>47</v>
      </c>
      <c r="T62" s="1" t="s">
        <v>48</v>
      </c>
      <c r="U62" s="1" t="s">
        <v>47</v>
      </c>
      <c r="V62" s="1" t="s">
        <v>47</v>
      </c>
      <c r="W62" s="1" t="s">
        <v>47</v>
      </c>
      <c r="Z62" s="1">
        <v>0</v>
      </c>
      <c r="AB62" s="1" t="s">
        <v>47</v>
      </c>
      <c r="AD62" s="1">
        <v>252977</v>
      </c>
      <c r="AF62" s="1" t="s">
        <v>47</v>
      </c>
      <c r="AG62" s="1" t="s">
        <v>47</v>
      </c>
      <c r="AH62" s="1" t="s">
        <v>49</v>
      </c>
      <c r="AI62" s="1" t="s">
        <v>47</v>
      </c>
      <c r="AK62" s="1" t="s">
        <v>48</v>
      </c>
      <c r="AL62" s="1" t="s">
        <v>273</v>
      </c>
    </row>
    <row r="63" spans="1:38">
      <c r="A63" s="1">
        <v>5136532</v>
      </c>
      <c r="B63" s="1" t="s">
        <v>274</v>
      </c>
      <c r="C63" s="1" t="str">
        <f>"9780273750451"</f>
        <v>9780273750451</v>
      </c>
      <c r="D63" s="1" t="str">
        <f>"9780273757023"</f>
        <v>9780273757023</v>
      </c>
      <c r="E63" s="1" t="s">
        <v>52</v>
      </c>
      <c r="F63" s="1" t="s">
        <v>67</v>
      </c>
      <c r="G63" s="3">
        <v>40807</v>
      </c>
      <c r="H63" s="3">
        <v>1</v>
      </c>
      <c r="I63" s="1" t="s">
        <v>41</v>
      </c>
      <c r="J63" s="1">
        <v>9</v>
      </c>
      <c r="L63" s="1" t="s">
        <v>275</v>
      </c>
      <c r="M63" s="1" t="s">
        <v>59</v>
      </c>
      <c r="N63" s="1" t="s">
        <v>276</v>
      </c>
      <c r="O63" s="1">
        <v>658.15</v>
      </c>
      <c r="Q63" s="1" t="s">
        <v>46</v>
      </c>
      <c r="R63" s="1" t="s">
        <v>47</v>
      </c>
      <c r="S63" s="1" t="s">
        <v>47</v>
      </c>
      <c r="T63" s="1" t="s">
        <v>48</v>
      </c>
      <c r="U63" s="1" t="s">
        <v>47</v>
      </c>
      <c r="V63" s="1" t="s">
        <v>47</v>
      </c>
      <c r="W63" s="1" t="s">
        <v>47</v>
      </c>
      <c r="Z63" s="1">
        <v>0</v>
      </c>
      <c r="AB63" s="1" t="s">
        <v>47</v>
      </c>
      <c r="AD63" s="1">
        <v>327562</v>
      </c>
      <c r="AF63" s="1" t="s">
        <v>47</v>
      </c>
      <c r="AG63" s="1" t="s">
        <v>47</v>
      </c>
      <c r="AH63" s="1" t="s">
        <v>49</v>
      </c>
      <c r="AI63" s="1" t="s">
        <v>47</v>
      </c>
      <c r="AK63" s="1" t="s">
        <v>48</v>
      </c>
      <c r="AL63" s="1" t="s">
        <v>277</v>
      </c>
    </row>
    <row r="64" spans="1:38">
      <c r="A64" s="1">
        <v>5136561</v>
      </c>
      <c r="B64" s="1" t="s">
        <v>278</v>
      </c>
      <c r="C64" s="1" t="str">
        <f>"9781292024035"</f>
        <v>9781292024035</v>
      </c>
      <c r="D64" s="1" t="str">
        <f>"9781292037103"</f>
        <v>9781292037103</v>
      </c>
      <c r="E64" s="1" t="s">
        <v>52</v>
      </c>
      <c r="F64" s="1" t="s">
        <v>40</v>
      </c>
      <c r="G64" s="3">
        <v>41579</v>
      </c>
      <c r="H64" s="3">
        <v>1</v>
      </c>
      <c r="I64" s="1" t="s">
        <v>41</v>
      </c>
      <c r="J64" s="1">
        <v>3</v>
      </c>
      <c r="L64" s="1" t="s">
        <v>279</v>
      </c>
      <c r="M64" s="1" t="s">
        <v>280</v>
      </c>
      <c r="O64" s="1">
        <v>621.31700000000001</v>
      </c>
      <c r="Q64" s="1" t="s">
        <v>46</v>
      </c>
      <c r="R64" s="1" t="s">
        <v>47</v>
      </c>
      <c r="S64" s="1" t="s">
        <v>47</v>
      </c>
      <c r="T64" s="1" t="s">
        <v>48</v>
      </c>
      <c r="U64" s="1" t="s">
        <v>47</v>
      </c>
      <c r="V64" s="1" t="s">
        <v>47</v>
      </c>
      <c r="W64" s="1" t="s">
        <v>47</v>
      </c>
      <c r="Z64" s="1">
        <v>0</v>
      </c>
      <c r="AB64" s="1" t="s">
        <v>47</v>
      </c>
      <c r="AD64" s="1">
        <v>527202</v>
      </c>
      <c r="AF64" s="1" t="s">
        <v>47</v>
      </c>
      <c r="AG64" s="1" t="s">
        <v>47</v>
      </c>
      <c r="AH64" s="1" t="s">
        <v>49</v>
      </c>
      <c r="AI64" s="1" t="s">
        <v>47</v>
      </c>
      <c r="AK64" s="1" t="s">
        <v>48</v>
      </c>
      <c r="AL64" s="1" t="s">
        <v>281</v>
      </c>
    </row>
    <row r="65" spans="1:38">
      <c r="A65" s="1">
        <v>5136562</v>
      </c>
      <c r="B65" s="1" t="s">
        <v>282</v>
      </c>
      <c r="C65" s="1" t="str">
        <f>"9781292024776"</f>
        <v>9781292024776</v>
      </c>
      <c r="D65" s="1" t="str">
        <f>"9781292037448"</f>
        <v>9781292037448</v>
      </c>
      <c r="E65" s="1" t="s">
        <v>52</v>
      </c>
      <c r="F65" s="1" t="s">
        <v>40</v>
      </c>
      <c r="G65" s="3">
        <v>41515</v>
      </c>
      <c r="H65" s="3">
        <v>1</v>
      </c>
      <c r="I65" s="1" t="s">
        <v>41</v>
      </c>
      <c r="J65" s="1">
        <v>2</v>
      </c>
      <c r="L65" s="1" t="s">
        <v>283</v>
      </c>
      <c r="M65" s="1" t="s">
        <v>242</v>
      </c>
      <c r="O65" s="1">
        <v>512</v>
      </c>
      <c r="Q65" s="1" t="s">
        <v>46</v>
      </c>
      <c r="R65" s="1" t="s">
        <v>47</v>
      </c>
      <c r="S65" s="1" t="s">
        <v>47</v>
      </c>
      <c r="T65" s="1" t="s">
        <v>48</v>
      </c>
      <c r="U65" s="1" t="s">
        <v>47</v>
      </c>
      <c r="V65" s="1" t="s">
        <v>47</v>
      </c>
      <c r="W65" s="1" t="s">
        <v>47</v>
      </c>
      <c r="Z65" s="1">
        <v>0</v>
      </c>
      <c r="AB65" s="1" t="s">
        <v>47</v>
      </c>
      <c r="AD65" s="1">
        <v>527183</v>
      </c>
      <c r="AF65" s="1" t="s">
        <v>47</v>
      </c>
      <c r="AG65" s="1" t="s">
        <v>47</v>
      </c>
      <c r="AH65" s="1" t="s">
        <v>49</v>
      </c>
      <c r="AI65" s="1" t="s">
        <v>47</v>
      </c>
      <c r="AK65" s="1" t="s">
        <v>48</v>
      </c>
      <c r="AL65" s="1" t="s">
        <v>284</v>
      </c>
    </row>
    <row r="66" spans="1:38">
      <c r="A66" s="1">
        <v>5136583</v>
      </c>
      <c r="B66" s="1" t="s">
        <v>285</v>
      </c>
      <c r="C66" s="1" t="str">
        <f>""</f>
        <v/>
      </c>
      <c r="D66" s="1" t="str">
        <f>"9781292038414"</f>
        <v>9781292038414</v>
      </c>
      <c r="E66" s="1" t="s">
        <v>52</v>
      </c>
      <c r="F66" s="1" t="s">
        <v>40</v>
      </c>
      <c r="G66" s="3">
        <v>41579</v>
      </c>
      <c r="H66" s="3">
        <v>1</v>
      </c>
      <c r="I66" s="1" t="s">
        <v>41</v>
      </c>
      <c r="J66" s="1">
        <v>2</v>
      </c>
      <c r="L66" s="1" t="s">
        <v>286</v>
      </c>
      <c r="M66" s="1" t="s">
        <v>207</v>
      </c>
      <c r="O66" s="1">
        <v>660.63</v>
      </c>
      <c r="Q66" s="1" t="s">
        <v>46</v>
      </c>
      <c r="R66" s="1" t="s">
        <v>47</v>
      </c>
      <c r="S66" s="1" t="s">
        <v>47</v>
      </c>
      <c r="T66" s="1" t="s">
        <v>48</v>
      </c>
      <c r="U66" s="1" t="s">
        <v>47</v>
      </c>
      <c r="V66" s="1" t="s">
        <v>47</v>
      </c>
      <c r="W66" s="1" t="s">
        <v>47</v>
      </c>
      <c r="Z66" s="1">
        <v>0</v>
      </c>
      <c r="AB66" s="1" t="s">
        <v>47</v>
      </c>
      <c r="AD66" s="1">
        <v>527336</v>
      </c>
      <c r="AF66" s="1" t="s">
        <v>47</v>
      </c>
      <c r="AG66" s="1" t="s">
        <v>47</v>
      </c>
      <c r="AH66" s="1" t="s">
        <v>49</v>
      </c>
      <c r="AI66" s="1" t="s">
        <v>47</v>
      </c>
      <c r="AK66" s="1" t="s">
        <v>48</v>
      </c>
      <c r="AL66" s="1" t="s">
        <v>287</v>
      </c>
    </row>
    <row r="67" spans="1:38">
      <c r="A67" s="1">
        <v>5136585</v>
      </c>
      <c r="B67" s="1" t="s">
        <v>288</v>
      </c>
      <c r="C67" s="1" t="str">
        <f>"9780273730460"</f>
        <v>9780273730460</v>
      </c>
      <c r="D67" s="1" t="str">
        <f>"9780273730477"</f>
        <v>9780273730477</v>
      </c>
      <c r="E67" s="1" t="s">
        <v>52</v>
      </c>
      <c r="F67" s="1" t="s">
        <v>67</v>
      </c>
      <c r="G67" s="3">
        <v>40317</v>
      </c>
      <c r="H67" s="3">
        <v>1</v>
      </c>
      <c r="I67" s="1" t="s">
        <v>41</v>
      </c>
      <c r="J67" s="1">
        <v>6</v>
      </c>
      <c r="L67" s="1" t="s">
        <v>289</v>
      </c>
      <c r="M67" s="1" t="s">
        <v>59</v>
      </c>
      <c r="N67" s="1" t="s">
        <v>290</v>
      </c>
      <c r="O67" s="1">
        <v>658.5</v>
      </c>
      <c r="Q67" s="1" t="s">
        <v>46</v>
      </c>
      <c r="R67" s="1" t="s">
        <v>47</v>
      </c>
      <c r="S67" s="1" t="s">
        <v>47</v>
      </c>
      <c r="T67" s="1" t="s">
        <v>48</v>
      </c>
      <c r="U67" s="1" t="s">
        <v>47</v>
      </c>
      <c r="V67" s="1" t="s">
        <v>47</v>
      </c>
      <c r="W67" s="1" t="s">
        <v>47</v>
      </c>
      <c r="Z67" s="1">
        <v>0</v>
      </c>
      <c r="AB67" s="1" t="s">
        <v>47</v>
      </c>
      <c r="AD67" s="1">
        <v>255762</v>
      </c>
      <c r="AF67" s="1" t="s">
        <v>47</v>
      </c>
      <c r="AG67" s="1" t="s">
        <v>47</v>
      </c>
      <c r="AH67" s="1" t="s">
        <v>49</v>
      </c>
      <c r="AI67" s="1" t="s">
        <v>47</v>
      </c>
      <c r="AK67" s="1" t="s">
        <v>48</v>
      </c>
      <c r="AL67" s="1" t="s">
        <v>291</v>
      </c>
    </row>
    <row r="68" spans="1:38">
      <c r="A68" s="1">
        <v>5136590</v>
      </c>
      <c r="B68" s="1" t="s">
        <v>292</v>
      </c>
      <c r="C68" s="1" t="str">
        <f>"9781408252611"</f>
        <v>9781408252611</v>
      </c>
      <c r="D68" s="1" t="str">
        <f>"9781408252635"</f>
        <v>9781408252635</v>
      </c>
      <c r="E68" s="1" t="s">
        <v>52</v>
      </c>
      <c r="F68" s="1" t="s">
        <v>195</v>
      </c>
      <c r="G68" s="3">
        <v>40807</v>
      </c>
      <c r="H68" s="3">
        <v>1</v>
      </c>
      <c r="I68" s="1" t="s">
        <v>41</v>
      </c>
      <c r="J68" s="1">
        <v>7</v>
      </c>
      <c r="L68" s="1" t="s">
        <v>293</v>
      </c>
      <c r="M68" s="1" t="s">
        <v>162</v>
      </c>
      <c r="N68" s="1" t="s">
        <v>294</v>
      </c>
      <c r="O68" s="1">
        <v>346.41043000000002</v>
      </c>
      <c r="Q68" s="1" t="s">
        <v>46</v>
      </c>
      <c r="R68" s="1" t="s">
        <v>47</v>
      </c>
      <c r="S68" s="1" t="s">
        <v>47</v>
      </c>
      <c r="T68" s="1" t="s">
        <v>48</v>
      </c>
      <c r="U68" s="1" t="s">
        <v>47</v>
      </c>
      <c r="V68" s="1" t="s">
        <v>47</v>
      </c>
      <c r="W68" s="1" t="s">
        <v>47</v>
      </c>
      <c r="Z68" s="1">
        <v>0</v>
      </c>
      <c r="AB68" s="1" t="s">
        <v>47</v>
      </c>
      <c r="AD68" s="1">
        <v>327579</v>
      </c>
      <c r="AF68" s="1" t="s">
        <v>47</v>
      </c>
      <c r="AG68" s="1" t="s">
        <v>47</v>
      </c>
      <c r="AH68" s="1" t="s">
        <v>49</v>
      </c>
      <c r="AI68" s="1" t="s">
        <v>47</v>
      </c>
      <c r="AK68" s="1" t="s">
        <v>48</v>
      </c>
      <c r="AL68" s="1" t="s">
        <v>295</v>
      </c>
    </row>
    <row r="69" spans="1:38">
      <c r="A69" s="1">
        <v>5136591</v>
      </c>
      <c r="B69" s="1" t="s">
        <v>296</v>
      </c>
      <c r="C69" s="1" t="str">
        <f>"9781408266564"</f>
        <v>9781408266564</v>
      </c>
      <c r="D69" s="1" t="str">
        <f>"9781408267103"</f>
        <v>9781408267103</v>
      </c>
      <c r="E69" s="1" t="s">
        <v>52</v>
      </c>
      <c r="F69" s="1" t="s">
        <v>40</v>
      </c>
      <c r="G69" s="3">
        <v>41194</v>
      </c>
      <c r="H69" s="3">
        <v>1</v>
      </c>
      <c r="I69" s="1" t="s">
        <v>41</v>
      </c>
      <c r="J69" s="1">
        <v>1</v>
      </c>
      <c r="L69" s="1" t="s">
        <v>297</v>
      </c>
      <c r="M69" s="1" t="s">
        <v>162</v>
      </c>
      <c r="O69" s="1">
        <v>344.04599999999999</v>
      </c>
      <c r="Q69" s="1" t="s">
        <v>46</v>
      </c>
      <c r="R69" s="1" t="s">
        <v>47</v>
      </c>
      <c r="S69" s="1" t="s">
        <v>47</v>
      </c>
      <c r="T69" s="1" t="s">
        <v>48</v>
      </c>
      <c r="U69" s="1" t="s">
        <v>47</v>
      </c>
      <c r="V69" s="1" t="s">
        <v>47</v>
      </c>
      <c r="W69" s="1" t="s">
        <v>47</v>
      </c>
      <c r="Z69" s="1">
        <v>0</v>
      </c>
      <c r="AB69" s="1" t="s">
        <v>47</v>
      </c>
      <c r="AD69" s="1">
        <v>399628</v>
      </c>
      <c r="AF69" s="1" t="s">
        <v>47</v>
      </c>
      <c r="AG69" s="1" t="s">
        <v>47</v>
      </c>
      <c r="AH69" s="1" t="s">
        <v>49</v>
      </c>
      <c r="AI69" s="1" t="s">
        <v>47</v>
      </c>
      <c r="AK69" s="1" t="s">
        <v>48</v>
      </c>
      <c r="AL69" s="1" t="s">
        <v>298</v>
      </c>
    </row>
    <row r="70" spans="1:38">
      <c r="A70" s="1">
        <v>5136596</v>
      </c>
      <c r="B70" s="1" t="s">
        <v>299</v>
      </c>
      <c r="C70" s="1" t="str">
        <f>"9781292023038"</f>
        <v>9781292023038</v>
      </c>
      <c r="D70" s="1" t="str">
        <f>"9781292036212"</f>
        <v>9781292036212</v>
      </c>
      <c r="E70" s="1" t="s">
        <v>52</v>
      </c>
      <c r="F70" s="1" t="s">
        <v>40</v>
      </c>
      <c r="G70" s="3">
        <v>41514</v>
      </c>
      <c r="H70" s="3">
        <v>1</v>
      </c>
      <c r="I70" s="1" t="s">
        <v>41</v>
      </c>
      <c r="J70" s="1">
        <v>6</v>
      </c>
      <c r="L70" s="1" t="s">
        <v>300</v>
      </c>
      <c r="M70" s="1" t="s">
        <v>59</v>
      </c>
      <c r="O70" s="1">
        <v>658.87199999999996</v>
      </c>
      <c r="Q70" s="1" t="s">
        <v>46</v>
      </c>
      <c r="R70" s="1" t="s">
        <v>47</v>
      </c>
      <c r="S70" s="1" t="s">
        <v>47</v>
      </c>
      <c r="T70" s="1" t="s">
        <v>48</v>
      </c>
      <c r="U70" s="1" t="s">
        <v>47</v>
      </c>
      <c r="V70" s="1" t="s">
        <v>47</v>
      </c>
      <c r="W70" s="1" t="s">
        <v>47</v>
      </c>
      <c r="Z70" s="1">
        <v>0</v>
      </c>
      <c r="AB70" s="1" t="s">
        <v>47</v>
      </c>
      <c r="AD70" s="1">
        <v>527190</v>
      </c>
      <c r="AF70" s="1" t="s">
        <v>47</v>
      </c>
      <c r="AG70" s="1" t="s">
        <v>47</v>
      </c>
      <c r="AH70" s="1" t="s">
        <v>49</v>
      </c>
      <c r="AI70" s="1" t="s">
        <v>47</v>
      </c>
      <c r="AK70" s="1" t="s">
        <v>48</v>
      </c>
      <c r="AL70" s="1" t="s">
        <v>301</v>
      </c>
    </row>
    <row r="71" spans="1:38">
      <c r="A71" s="1">
        <v>5136601</v>
      </c>
      <c r="B71" s="1" t="s">
        <v>302</v>
      </c>
      <c r="C71" s="1" t="str">
        <f>"9781408271711"</f>
        <v>9781408271711</v>
      </c>
      <c r="D71" s="1" t="str">
        <f>"9781408271735"</f>
        <v>9781408271735</v>
      </c>
      <c r="E71" s="1" t="s">
        <v>52</v>
      </c>
      <c r="F71" s="1" t="s">
        <v>40</v>
      </c>
      <c r="G71" s="3">
        <v>41311</v>
      </c>
      <c r="H71" s="3">
        <v>1</v>
      </c>
      <c r="I71" s="1" t="s">
        <v>41</v>
      </c>
      <c r="J71" s="1">
        <v>2</v>
      </c>
      <c r="L71" s="1" t="s">
        <v>303</v>
      </c>
      <c r="M71" s="1" t="s">
        <v>162</v>
      </c>
      <c r="O71" s="1">
        <v>346.42066</v>
      </c>
      <c r="Q71" s="1" t="s">
        <v>46</v>
      </c>
      <c r="R71" s="1" t="s">
        <v>47</v>
      </c>
      <c r="S71" s="1" t="s">
        <v>47</v>
      </c>
      <c r="T71" s="1" t="s">
        <v>48</v>
      </c>
      <c r="U71" s="1" t="s">
        <v>47</v>
      </c>
      <c r="V71" s="1" t="s">
        <v>47</v>
      </c>
      <c r="W71" s="1" t="s">
        <v>47</v>
      </c>
      <c r="Z71" s="1">
        <v>0</v>
      </c>
      <c r="AB71" s="1" t="s">
        <v>47</v>
      </c>
      <c r="AD71" s="1">
        <v>463013</v>
      </c>
      <c r="AF71" s="1" t="s">
        <v>47</v>
      </c>
      <c r="AG71" s="1" t="s">
        <v>47</v>
      </c>
      <c r="AH71" s="1" t="s">
        <v>49</v>
      </c>
      <c r="AI71" s="1" t="s">
        <v>47</v>
      </c>
      <c r="AK71" s="1" t="s">
        <v>48</v>
      </c>
      <c r="AL71" s="1" t="s">
        <v>304</v>
      </c>
    </row>
    <row r="72" spans="1:38">
      <c r="A72" s="1">
        <v>5136602</v>
      </c>
      <c r="B72" s="1" t="s">
        <v>305</v>
      </c>
      <c r="C72" s="1" t="str">
        <f>"9781408271834"</f>
        <v>9781408271834</v>
      </c>
      <c r="D72" s="1" t="str">
        <f>"9781408271858"</f>
        <v>9781408271858</v>
      </c>
      <c r="E72" s="1" t="s">
        <v>52</v>
      </c>
      <c r="F72" s="1" t="s">
        <v>40</v>
      </c>
      <c r="G72" s="3">
        <v>41311</v>
      </c>
      <c r="H72" s="3">
        <v>1</v>
      </c>
      <c r="I72" s="1" t="s">
        <v>41</v>
      </c>
      <c r="J72" s="1">
        <v>2</v>
      </c>
      <c r="L72" s="1" t="s">
        <v>303</v>
      </c>
      <c r="M72" s="1" t="s">
        <v>162</v>
      </c>
      <c r="O72" s="1">
        <v>347.42059999999998</v>
      </c>
      <c r="Q72" s="1" t="s">
        <v>46</v>
      </c>
      <c r="R72" s="1" t="s">
        <v>47</v>
      </c>
      <c r="S72" s="1" t="s">
        <v>47</v>
      </c>
      <c r="T72" s="1" t="s">
        <v>48</v>
      </c>
      <c r="U72" s="1" t="s">
        <v>47</v>
      </c>
      <c r="V72" s="1" t="s">
        <v>47</v>
      </c>
      <c r="W72" s="1" t="s">
        <v>47</v>
      </c>
      <c r="Z72" s="1">
        <v>0</v>
      </c>
      <c r="AB72" s="1" t="s">
        <v>47</v>
      </c>
      <c r="AD72" s="1">
        <v>463020</v>
      </c>
      <c r="AF72" s="1" t="s">
        <v>47</v>
      </c>
      <c r="AG72" s="1" t="s">
        <v>47</v>
      </c>
      <c r="AH72" s="1" t="s">
        <v>49</v>
      </c>
      <c r="AI72" s="1" t="s">
        <v>47</v>
      </c>
      <c r="AK72" s="1" t="s">
        <v>48</v>
      </c>
      <c r="AL72" s="1" t="s">
        <v>306</v>
      </c>
    </row>
    <row r="73" spans="1:38" s="2" customFormat="1">
      <c r="A73" s="2">
        <v>5136603</v>
      </c>
      <c r="B73" s="2" t="s">
        <v>307</v>
      </c>
      <c r="C73" s="2" t="str">
        <f>"9781408271742"</f>
        <v>9781408271742</v>
      </c>
      <c r="D73" s="2" t="str">
        <f>"9781408271766"</f>
        <v>9781408271766</v>
      </c>
      <c r="E73" s="2" t="s">
        <v>52</v>
      </c>
      <c r="F73" s="2" t="s">
        <v>40</v>
      </c>
      <c r="G73" s="3">
        <v>41311</v>
      </c>
      <c r="H73" s="3">
        <v>1</v>
      </c>
      <c r="I73" s="2" t="s">
        <v>41</v>
      </c>
      <c r="J73" s="2">
        <v>3</v>
      </c>
      <c r="L73" s="2" t="s">
        <v>303</v>
      </c>
      <c r="M73" s="2" t="s">
        <v>162</v>
      </c>
      <c r="O73" s="2">
        <v>342.41</v>
      </c>
      <c r="Q73" s="2" t="s">
        <v>46</v>
      </c>
      <c r="R73" s="2" t="s">
        <v>47</v>
      </c>
      <c r="S73" s="2" t="s">
        <v>47</v>
      </c>
      <c r="T73" s="2" t="s">
        <v>48</v>
      </c>
      <c r="U73" s="2" t="s">
        <v>47</v>
      </c>
      <c r="V73" s="2" t="s">
        <v>47</v>
      </c>
      <c r="W73" s="2" t="s">
        <v>47</v>
      </c>
      <c r="Z73" s="2">
        <v>0</v>
      </c>
      <c r="AB73" s="2" t="s">
        <v>47</v>
      </c>
      <c r="AD73" s="2">
        <v>463022</v>
      </c>
      <c r="AF73" s="2" t="s">
        <v>47</v>
      </c>
      <c r="AG73" s="2" t="s">
        <v>47</v>
      </c>
      <c r="AH73" s="2" t="s">
        <v>49</v>
      </c>
      <c r="AI73" s="2" t="s">
        <v>47</v>
      </c>
      <c r="AK73" s="2" t="s">
        <v>48</v>
      </c>
      <c r="AL73" s="2" t="s">
        <v>308</v>
      </c>
    </row>
    <row r="74" spans="1:38">
      <c r="A74" s="1">
        <v>5136608</v>
      </c>
      <c r="B74" s="1" t="s">
        <v>309</v>
      </c>
      <c r="C74" s="1" t="str">
        <f>"9781447900764"</f>
        <v>9781447900764</v>
      </c>
      <c r="D74" s="1" t="str">
        <f>"9781447900771"</f>
        <v>9781447900771</v>
      </c>
      <c r="E74" s="1" t="s">
        <v>52</v>
      </c>
      <c r="F74" s="1" t="s">
        <v>40</v>
      </c>
      <c r="G74" s="3">
        <v>41194</v>
      </c>
      <c r="H74" s="3">
        <v>1</v>
      </c>
      <c r="I74" s="1" t="s">
        <v>41</v>
      </c>
      <c r="J74" s="1">
        <v>2</v>
      </c>
      <c r="L74" s="1" t="s">
        <v>310</v>
      </c>
      <c r="M74" s="1" t="s">
        <v>162</v>
      </c>
      <c r="O74" s="1">
        <v>346.2407</v>
      </c>
      <c r="Q74" s="1" t="s">
        <v>46</v>
      </c>
      <c r="R74" s="1" t="s">
        <v>47</v>
      </c>
      <c r="S74" s="1" t="s">
        <v>47</v>
      </c>
      <c r="T74" s="1" t="s">
        <v>48</v>
      </c>
      <c r="U74" s="1" t="s">
        <v>47</v>
      </c>
      <c r="V74" s="1" t="s">
        <v>47</v>
      </c>
      <c r="W74" s="1" t="s">
        <v>47</v>
      </c>
      <c r="Z74" s="1">
        <v>0</v>
      </c>
      <c r="AB74" s="1" t="s">
        <v>47</v>
      </c>
      <c r="AD74" s="1">
        <v>399641</v>
      </c>
      <c r="AF74" s="1" t="s">
        <v>47</v>
      </c>
      <c r="AG74" s="1" t="s">
        <v>47</v>
      </c>
      <c r="AH74" s="1" t="s">
        <v>49</v>
      </c>
      <c r="AI74" s="1" t="s">
        <v>47</v>
      </c>
      <c r="AK74" s="1" t="s">
        <v>48</v>
      </c>
      <c r="AL74" s="1" t="s">
        <v>311</v>
      </c>
    </row>
    <row r="75" spans="1:38">
      <c r="A75" s="1">
        <v>5136627</v>
      </c>
      <c r="B75" s="1" t="s">
        <v>312</v>
      </c>
      <c r="C75" s="1" t="str">
        <f>"9781408252642"</f>
        <v>9781408252642</v>
      </c>
      <c r="D75" s="1" t="str">
        <f>"9781408252659"</f>
        <v>9781408252659</v>
      </c>
      <c r="E75" s="1" t="s">
        <v>52</v>
      </c>
      <c r="F75" s="1" t="s">
        <v>195</v>
      </c>
      <c r="G75" s="3">
        <v>40807</v>
      </c>
      <c r="H75" s="3">
        <v>1</v>
      </c>
      <c r="I75" s="1" t="s">
        <v>41</v>
      </c>
      <c r="J75" s="1">
        <v>4</v>
      </c>
      <c r="L75" s="1" t="s">
        <v>313</v>
      </c>
      <c r="M75" s="1" t="s">
        <v>162</v>
      </c>
      <c r="N75" s="1" t="s">
        <v>314</v>
      </c>
      <c r="O75" s="1">
        <v>345.42</v>
      </c>
      <c r="Q75" s="1" t="s">
        <v>46</v>
      </c>
      <c r="R75" s="1" t="s">
        <v>47</v>
      </c>
      <c r="S75" s="1" t="s">
        <v>47</v>
      </c>
      <c r="T75" s="1" t="s">
        <v>48</v>
      </c>
      <c r="U75" s="1" t="s">
        <v>47</v>
      </c>
      <c r="V75" s="1" t="s">
        <v>47</v>
      </c>
      <c r="W75" s="1" t="s">
        <v>47</v>
      </c>
      <c r="Z75" s="1">
        <v>0</v>
      </c>
      <c r="AB75" s="1" t="s">
        <v>47</v>
      </c>
      <c r="AD75" s="1">
        <v>327580</v>
      </c>
      <c r="AF75" s="1" t="s">
        <v>47</v>
      </c>
      <c r="AG75" s="1" t="s">
        <v>47</v>
      </c>
      <c r="AH75" s="1" t="s">
        <v>49</v>
      </c>
      <c r="AI75" s="1" t="s">
        <v>47</v>
      </c>
      <c r="AK75" s="1" t="s">
        <v>48</v>
      </c>
      <c r="AL75" s="1" t="s">
        <v>315</v>
      </c>
    </row>
    <row r="76" spans="1:38">
      <c r="A76" s="1">
        <v>5136628</v>
      </c>
      <c r="B76" s="1" t="s">
        <v>316</v>
      </c>
      <c r="C76" s="1" t="str">
        <f>"9780273720911"</f>
        <v>9780273720911</v>
      </c>
      <c r="D76" s="1" t="str">
        <f>"9780273720928"</f>
        <v>9780273720928</v>
      </c>
      <c r="E76" s="1" t="s">
        <v>52</v>
      </c>
      <c r="F76" s="1" t="s">
        <v>57</v>
      </c>
      <c r="G76" s="3">
        <v>40017</v>
      </c>
      <c r="H76" s="3">
        <v>1</v>
      </c>
      <c r="I76" s="1" t="s">
        <v>41</v>
      </c>
      <c r="J76" s="1">
        <v>1</v>
      </c>
      <c r="L76" s="1" t="s">
        <v>317</v>
      </c>
      <c r="M76" s="1" t="s">
        <v>59</v>
      </c>
      <c r="N76" s="1" t="s">
        <v>318</v>
      </c>
      <c r="O76" s="1">
        <v>658.8</v>
      </c>
      <c r="P76" s="1" t="s">
        <v>319</v>
      </c>
      <c r="Q76" s="1" t="s">
        <v>46</v>
      </c>
      <c r="R76" s="1" t="s">
        <v>47</v>
      </c>
      <c r="S76" s="1" t="s">
        <v>47</v>
      </c>
      <c r="T76" s="1" t="s">
        <v>48</v>
      </c>
      <c r="U76" s="1" t="s">
        <v>47</v>
      </c>
      <c r="V76" s="1" t="s">
        <v>47</v>
      </c>
      <c r="W76" s="1" t="s">
        <v>47</v>
      </c>
      <c r="Z76" s="1">
        <v>0</v>
      </c>
      <c r="AB76" s="1" t="s">
        <v>47</v>
      </c>
      <c r="AD76" s="1">
        <v>231762</v>
      </c>
      <c r="AF76" s="1" t="s">
        <v>47</v>
      </c>
      <c r="AG76" s="1" t="s">
        <v>47</v>
      </c>
      <c r="AH76" s="1" t="s">
        <v>49</v>
      </c>
      <c r="AI76" s="1" t="s">
        <v>47</v>
      </c>
      <c r="AK76" s="1" t="s">
        <v>48</v>
      </c>
      <c r="AL76" s="1" t="s">
        <v>320</v>
      </c>
    </row>
    <row r="77" spans="1:38">
      <c r="A77" s="1">
        <v>5136629</v>
      </c>
      <c r="B77" s="1" t="s">
        <v>321</v>
      </c>
      <c r="C77" s="1" t="str">
        <f>"9780273734611"</f>
        <v>9780273734611</v>
      </c>
      <c r="D77" s="1" t="str">
        <f>"9780273734628"</f>
        <v>9780273734628</v>
      </c>
      <c r="E77" s="1" t="s">
        <v>52</v>
      </c>
      <c r="F77" s="1" t="s">
        <v>57</v>
      </c>
      <c r="G77" s="3">
        <v>40255</v>
      </c>
      <c r="H77" s="3">
        <v>1</v>
      </c>
      <c r="I77" s="1" t="s">
        <v>41</v>
      </c>
      <c r="J77" s="1">
        <v>2</v>
      </c>
      <c r="L77" s="1" t="s">
        <v>317</v>
      </c>
      <c r="M77" s="1" t="s">
        <v>100</v>
      </c>
      <c r="N77" s="1" t="s">
        <v>322</v>
      </c>
      <c r="O77" s="1">
        <v>153.733</v>
      </c>
      <c r="Q77" s="1" t="s">
        <v>46</v>
      </c>
      <c r="R77" s="1" t="s">
        <v>47</v>
      </c>
      <c r="S77" s="1" t="s">
        <v>47</v>
      </c>
      <c r="T77" s="1" t="s">
        <v>48</v>
      </c>
      <c r="U77" s="1" t="s">
        <v>47</v>
      </c>
      <c r="V77" s="1" t="s">
        <v>47</v>
      </c>
      <c r="W77" s="1" t="s">
        <v>47</v>
      </c>
      <c r="Z77" s="1">
        <v>0</v>
      </c>
      <c r="AB77" s="1" t="s">
        <v>47</v>
      </c>
      <c r="AD77" s="1">
        <v>264551</v>
      </c>
      <c r="AF77" s="1" t="s">
        <v>47</v>
      </c>
      <c r="AG77" s="1" t="s">
        <v>47</v>
      </c>
      <c r="AH77" s="1" t="s">
        <v>49</v>
      </c>
      <c r="AI77" s="1" t="s">
        <v>47</v>
      </c>
      <c r="AK77" s="1" t="s">
        <v>48</v>
      </c>
      <c r="AL77" s="1" t="s">
        <v>323</v>
      </c>
    </row>
    <row r="78" spans="1:38">
      <c r="A78" s="1">
        <v>5136639</v>
      </c>
      <c r="B78" s="1" t="s">
        <v>324</v>
      </c>
      <c r="C78" s="1" t="str">
        <f>"9781292040011"</f>
        <v>9781292040011</v>
      </c>
      <c r="D78" s="1" t="str">
        <f>"9781292056203"</f>
        <v>9781292056203</v>
      </c>
      <c r="E78" s="1" t="s">
        <v>52</v>
      </c>
      <c r="F78" s="1" t="s">
        <v>40</v>
      </c>
      <c r="G78" s="3">
        <v>41550</v>
      </c>
      <c r="H78" s="3">
        <v>1</v>
      </c>
      <c r="I78" s="1" t="s">
        <v>41</v>
      </c>
      <c r="J78" s="1">
        <v>7</v>
      </c>
      <c r="L78" s="1" t="s">
        <v>325</v>
      </c>
      <c r="Q78" s="1" t="s">
        <v>46</v>
      </c>
      <c r="R78" s="1" t="s">
        <v>47</v>
      </c>
      <c r="S78" s="1" t="s">
        <v>47</v>
      </c>
      <c r="T78" s="1" t="s">
        <v>48</v>
      </c>
      <c r="U78" s="1" t="s">
        <v>47</v>
      </c>
      <c r="V78" s="1" t="s">
        <v>47</v>
      </c>
      <c r="W78" s="1" t="s">
        <v>47</v>
      </c>
      <c r="Z78" s="1">
        <v>0</v>
      </c>
      <c r="AB78" s="1" t="s">
        <v>47</v>
      </c>
      <c r="AD78" s="1">
        <v>543496</v>
      </c>
      <c r="AF78" s="1" t="s">
        <v>47</v>
      </c>
      <c r="AG78" s="1" t="s">
        <v>47</v>
      </c>
      <c r="AH78" s="1" t="s">
        <v>49</v>
      </c>
      <c r="AI78" s="1" t="s">
        <v>47</v>
      </c>
      <c r="AK78" s="1" t="s">
        <v>48</v>
      </c>
      <c r="AL78" s="1" t="s">
        <v>326</v>
      </c>
    </row>
    <row r="79" spans="1:38">
      <c r="A79" s="1">
        <v>5136641</v>
      </c>
      <c r="B79" s="1" t="s">
        <v>327</v>
      </c>
      <c r="C79" s="1" t="str">
        <f>"9781292022949"</f>
        <v>9781292022949</v>
      </c>
      <c r="D79" s="1" t="str">
        <f>"9781292036120"</f>
        <v>9781292036120</v>
      </c>
      <c r="E79" s="1" t="s">
        <v>52</v>
      </c>
      <c r="F79" s="1" t="s">
        <v>40</v>
      </c>
      <c r="G79" s="3">
        <v>41514</v>
      </c>
      <c r="H79" s="3">
        <v>1</v>
      </c>
      <c r="I79" s="1" t="s">
        <v>41</v>
      </c>
      <c r="J79" s="1">
        <v>6</v>
      </c>
      <c r="L79" s="1" t="s">
        <v>328</v>
      </c>
      <c r="Q79" s="1" t="s">
        <v>46</v>
      </c>
      <c r="R79" s="1" t="s">
        <v>47</v>
      </c>
      <c r="S79" s="1" t="s">
        <v>47</v>
      </c>
      <c r="T79" s="1" t="s">
        <v>48</v>
      </c>
      <c r="U79" s="1" t="s">
        <v>47</v>
      </c>
      <c r="V79" s="1" t="s">
        <v>47</v>
      </c>
      <c r="W79" s="1" t="s">
        <v>47</v>
      </c>
      <c r="Z79" s="1">
        <v>0</v>
      </c>
      <c r="AB79" s="1" t="s">
        <v>47</v>
      </c>
      <c r="AD79" s="1">
        <v>527387</v>
      </c>
      <c r="AF79" s="1" t="s">
        <v>47</v>
      </c>
      <c r="AG79" s="1" t="s">
        <v>47</v>
      </c>
      <c r="AH79" s="1" t="s">
        <v>49</v>
      </c>
      <c r="AI79" s="1" t="s">
        <v>47</v>
      </c>
      <c r="AK79" s="1" t="s">
        <v>48</v>
      </c>
      <c r="AL79" s="1" t="s">
        <v>329</v>
      </c>
    </row>
    <row r="80" spans="1:38">
      <c r="A80" s="1">
        <v>5136642</v>
      </c>
      <c r="B80" s="1" t="s">
        <v>330</v>
      </c>
      <c r="C80" s="1" t="str">
        <f>"9780273743880"</f>
        <v>9780273743880</v>
      </c>
      <c r="D80" s="1" t="str">
        <f>"9780273744412"</f>
        <v>9780273744412</v>
      </c>
      <c r="E80" s="1" t="s">
        <v>52</v>
      </c>
      <c r="F80" s="1" t="s">
        <v>67</v>
      </c>
      <c r="G80" s="3">
        <v>40696</v>
      </c>
      <c r="H80" s="3">
        <v>1</v>
      </c>
      <c r="I80" s="1" t="s">
        <v>41</v>
      </c>
      <c r="J80" s="1">
        <v>7</v>
      </c>
      <c r="L80" s="1" t="s">
        <v>331</v>
      </c>
      <c r="M80" s="1" t="s">
        <v>59</v>
      </c>
      <c r="N80" s="1" t="s">
        <v>332</v>
      </c>
      <c r="O80" s="1">
        <v>658.84</v>
      </c>
      <c r="P80" s="1" t="s">
        <v>333</v>
      </c>
      <c r="Q80" s="1" t="s">
        <v>46</v>
      </c>
      <c r="R80" s="1" t="s">
        <v>47</v>
      </c>
      <c r="S80" s="1" t="s">
        <v>47</v>
      </c>
      <c r="T80" s="1" t="s">
        <v>48</v>
      </c>
      <c r="U80" s="1" t="s">
        <v>47</v>
      </c>
      <c r="V80" s="1" t="s">
        <v>47</v>
      </c>
      <c r="W80" s="1" t="s">
        <v>47</v>
      </c>
      <c r="Z80" s="1">
        <v>0</v>
      </c>
      <c r="AB80" s="1" t="s">
        <v>47</v>
      </c>
      <c r="AD80" s="1">
        <v>327546</v>
      </c>
      <c r="AF80" s="1" t="s">
        <v>47</v>
      </c>
      <c r="AG80" s="1" t="s">
        <v>47</v>
      </c>
      <c r="AH80" s="1" t="s">
        <v>49</v>
      </c>
      <c r="AI80" s="1" t="s">
        <v>47</v>
      </c>
      <c r="AK80" s="1" t="s">
        <v>48</v>
      </c>
      <c r="AL80" s="1" t="s">
        <v>334</v>
      </c>
    </row>
    <row r="81" spans="1:38">
      <c r="A81" s="1">
        <v>5136645</v>
      </c>
      <c r="B81" s="1" t="s">
        <v>335</v>
      </c>
      <c r="C81" s="1" t="str">
        <f>"9781292021089"</f>
        <v>9781292021089</v>
      </c>
      <c r="D81" s="1" t="str">
        <f>"9781292034331"</f>
        <v>9781292034331</v>
      </c>
      <c r="E81" s="1" t="s">
        <v>52</v>
      </c>
      <c r="F81" s="1" t="s">
        <v>40</v>
      </c>
      <c r="G81" s="3">
        <v>41513</v>
      </c>
      <c r="H81" s="3">
        <v>1</v>
      </c>
      <c r="I81" s="1" t="s">
        <v>41</v>
      </c>
      <c r="J81" s="1">
        <v>7</v>
      </c>
      <c r="L81" s="1" t="s">
        <v>336</v>
      </c>
      <c r="Q81" s="1" t="s">
        <v>46</v>
      </c>
      <c r="R81" s="1" t="s">
        <v>47</v>
      </c>
      <c r="S81" s="1" t="s">
        <v>47</v>
      </c>
      <c r="T81" s="1" t="s">
        <v>48</v>
      </c>
      <c r="U81" s="1" t="s">
        <v>47</v>
      </c>
      <c r="V81" s="1" t="s">
        <v>47</v>
      </c>
      <c r="W81" s="1" t="s">
        <v>47</v>
      </c>
      <c r="Z81" s="1">
        <v>0</v>
      </c>
      <c r="AB81" s="1" t="s">
        <v>47</v>
      </c>
      <c r="AD81" s="1">
        <v>527370</v>
      </c>
      <c r="AF81" s="1" t="s">
        <v>47</v>
      </c>
      <c r="AG81" s="1" t="s">
        <v>47</v>
      </c>
      <c r="AH81" s="1" t="s">
        <v>49</v>
      </c>
      <c r="AI81" s="1" t="s">
        <v>47</v>
      </c>
      <c r="AK81" s="1" t="s">
        <v>48</v>
      </c>
      <c r="AL81" s="1" t="s">
        <v>337</v>
      </c>
    </row>
    <row r="82" spans="1:38">
      <c r="A82" s="1">
        <v>5136651</v>
      </c>
      <c r="B82" s="1" t="s">
        <v>338</v>
      </c>
      <c r="C82" s="1" t="str">
        <f>"9781292027227"</f>
        <v>9781292027227</v>
      </c>
      <c r="D82" s="1" t="str">
        <f>"9781292051789"</f>
        <v>9781292051789</v>
      </c>
      <c r="E82" s="1" t="s">
        <v>52</v>
      </c>
      <c r="F82" s="1" t="s">
        <v>40</v>
      </c>
      <c r="G82" s="3">
        <v>41550</v>
      </c>
      <c r="H82" s="3">
        <v>1</v>
      </c>
      <c r="I82" s="1" t="s">
        <v>41</v>
      </c>
      <c r="J82" s="1">
        <v>6</v>
      </c>
      <c r="L82" s="1" t="s">
        <v>339</v>
      </c>
      <c r="Q82" s="1" t="s">
        <v>46</v>
      </c>
      <c r="R82" s="1" t="s">
        <v>47</v>
      </c>
      <c r="S82" s="1" t="s">
        <v>47</v>
      </c>
      <c r="T82" s="1" t="s">
        <v>48</v>
      </c>
      <c r="U82" s="1" t="s">
        <v>47</v>
      </c>
      <c r="V82" s="1" t="s">
        <v>47</v>
      </c>
      <c r="W82" s="1" t="s">
        <v>47</v>
      </c>
      <c r="Z82" s="1">
        <v>0</v>
      </c>
      <c r="AB82" s="1" t="s">
        <v>47</v>
      </c>
      <c r="AD82" s="1">
        <v>543507</v>
      </c>
      <c r="AF82" s="1" t="s">
        <v>47</v>
      </c>
      <c r="AG82" s="1" t="s">
        <v>47</v>
      </c>
      <c r="AH82" s="1" t="s">
        <v>49</v>
      </c>
      <c r="AI82" s="1" t="s">
        <v>47</v>
      </c>
      <c r="AK82" s="1" t="s">
        <v>48</v>
      </c>
      <c r="AL82" s="1" t="s">
        <v>340</v>
      </c>
    </row>
    <row r="83" spans="1:38">
      <c r="A83" s="1">
        <v>5136652</v>
      </c>
      <c r="B83" s="1" t="s">
        <v>341</v>
      </c>
      <c r="C83" s="1" t="str">
        <f>"9781292023052"</f>
        <v>9781292023052</v>
      </c>
      <c r="D83" s="1" t="str">
        <f>"9781292036236"</f>
        <v>9781292036236</v>
      </c>
      <c r="E83" s="1" t="s">
        <v>52</v>
      </c>
      <c r="F83" s="1" t="s">
        <v>40</v>
      </c>
      <c r="G83" s="3">
        <v>41456</v>
      </c>
      <c r="H83" s="3">
        <v>1</v>
      </c>
      <c r="I83" s="1" t="s">
        <v>41</v>
      </c>
      <c r="J83" s="1">
        <v>5</v>
      </c>
      <c r="L83" s="1" t="s">
        <v>342</v>
      </c>
      <c r="M83" s="1" t="s">
        <v>256</v>
      </c>
      <c r="O83" s="1">
        <v>337</v>
      </c>
      <c r="Q83" s="1" t="s">
        <v>46</v>
      </c>
      <c r="R83" s="1" t="s">
        <v>47</v>
      </c>
      <c r="S83" s="1" t="s">
        <v>47</v>
      </c>
      <c r="T83" s="1" t="s">
        <v>48</v>
      </c>
      <c r="U83" s="1" t="s">
        <v>47</v>
      </c>
      <c r="V83" s="1" t="s">
        <v>47</v>
      </c>
      <c r="W83" s="1" t="s">
        <v>47</v>
      </c>
      <c r="Z83" s="1">
        <v>0</v>
      </c>
      <c r="AB83" s="1" t="s">
        <v>47</v>
      </c>
      <c r="AD83" s="1">
        <v>527214</v>
      </c>
      <c r="AF83" s="1" t="s">
        <v>47</v>
      </c>
      <c r="AG83" s="1" t="s">
        <v>47</v>
      </c>
      <c r="AH83" s="1" t="s">
        <v>49</v>
      </c>
      <c r="AI83" s="1" t="s">
        <v>47</v>
      </c>
      <c r="AK83" s="1" t="s">
        <v>48</v>
      </c>
      <c r="AL83" s="1" t="s">
        <v>343</v>
      </c>
    </row>
    <row r="84" spans="1:38" s="2" customFormat="1">
      <c r="A84" s="2">
        <v>5136655</v>
      </c>
      <c r="B84" s="2" t="s">
        <v>344</v>
      </c>
      <c r="C84" s="2" t="str">
        <f>"9781292024769"</f>
        <v>9781292024769</v>
      </c>
      <c r="D84" s="2" t="str">
        <f>"9781292037431"</f>
        <v>9781292037431</v>
      </c>
      <c r="E84" s="2" t="s">
        <v>52</v>
      </c>
      <c r="F84" s="2" t="s">
        <v>40</v>
      </c>
      <c r="G84" s="3">
        <v>41515</v>
      </c>
      <c r="H84" s="3">
        <v>1</v>
      </c>
      <c r="I84" s="2" t="s">
        <v>41</v>
      </c>
      <c r="J84" s="2">
        <v>12</v>
      </c>
      <c r="L84" s="2" t="s">
        <v>345</v>
      </c>
      <c r="Q84" s="2" t="s">
        <v>46</v>
      </c>
      <c r="R84" s="2" t="s">
        <v>47</v>
      </c>
      <c r="S84" s="2" t="s">
        <v>47</v>
      </c>
      <c r="T84" s="2" t="s">
        <v>48</v>
      </c>
      <c r="U84" s="2" t="s">
        <v>47</v>
      </c>
      <c r="V84" s="2" t="s">
        <v>47</v>
      </c>
      <c r="W84" s="2" t="s">
        <v>47</v>
      </c>
      <c r="Z84" s="2">
        <v>0</v>
      </c>
      <c r="AB84" s="2" t="s">
        <v>47</v>
      </c>
      <c r="AD84" s="2">
        <v>527211</v>
      </c>
      <c r="AF84" s="2" t="s">
        <v>47</v>
      </c>
      <c r="AG84" s="2" t="s">
        <v>47</v>
      </c>
      <c r="AH84" s="2" t="s">
        <v>49</v>
      </c>
      <c r="AI84" s="2" t="s">
        <v>47</v>
      </c>
      <c r="AK84" s="2" t="s">
        <v>48</v>
      </c>
      <c r="AL84" s="2" t="s">
        <v>346</v>
      </c>
    </row>
    <row r="85" spans="1:38">
      <c r="A85" s="1">
        <v>5136656</v>
      </c>
      <c r="B85" s="1" t="s">
        <v>347</v>
      </c>
      <c r="C85" s="1" t="str">
        <f>"9781292021829"</f>
        <v>9781292021829</v>
      </c>
      <c r="D85" s="1" t="str">
        <f>"9781292035031"</f>
        <v>9781292035031</v>
      </c>
      <c r="E85" s="1" t="s">
        <v>52</v>
      </c>
      <c r="F85" s="1" t="s">
        <v>40</v>
      </c>
      <c r="G85" s="3">
        <v>41513</v>
      </c>
      <c r="H85" s="3">
        <v>1</v>
      </c>
      <c r="I85" s="1" t="s">
        <v>41</v>
      </c>
      <c r="J85" s="1">
        <v>12</v>
      </c>
      <c r="L85" s="1" t="s">
        <v>345</v>
      </c>
      <c r="Q85" s="1" t="s">
        <v>46</v>
      </c>
      <c r="R85" s="1" t="s">
        <v>47</v>
      </c>
      <c r="S85" s="1" t="s">
        <v>47</v>
      </c>
      <c r="T85" s="1" t="s">
        <v>48</v>
      </c>
      <c r="U85" s="1" t="s">
        <v>47</v>
      </c>
      <c r="V85" s="1" t="s">
        <v>47</v>
      </c>
      <c r="W85" s="1" t="s">
        <v>47</v>
      </c>
      <c r="Z85" s="1">
        <v>0</v>
      </c>
      <c r="AB85" s="1" t="s">
        <v>47</v>
      </c>
      <c r="AD85" s="1">
        <v>527271</v>
      </c>
      <c r="AF85" s="1" t="s">
        <v>47</v>
      </c>
      <c r="AG85" s="1" t="s">
        <v>47</v>
      </c>
      <c r="AH85" s="1" t="s">
        <v>49</v>
      </c>
      <c r="AI85" s="1" t="s">
        <v>47</v>
      </c>
      <c r="AK85" s="1" t="s">
        <v>48</v>
      </c>
      <c r="AL85" s="1" t="s">
        <v>348</v>
      </c>
    </row>
    <row r="86" spans="1:38">
      <c r="A86" s="1">
        <v>5136657</v>
      </c>
      <c r="B86" s="1" t="s">
        <v>349</v>
      </c>
      <c r="C86" s="1" t="str">
        <f>"9781292023717"</f>
        <v>9781292023717</v>
      </c>
      <c r="D86" s="1" t="str">
        <f>"9781292036847"</f>
        <v>9781292036847</v>
      </c>
      <c r="E86" s="1" t="s">
        <v>52</v>
      </c>
      <c r="F86" s="1" t="s">
        <v>40</v>
      </c>
      <c r="G86" s="3">
        <v>41515</v>
      </c>
      <c r="H86" s="3">
        <v>1</v>
      </c>
      <c r="I86" s="1" t="s">
        <v>41</v>
      </c>
      <c r="J86" s="1">
        <v>12</v>
      </c>
      <c r="L86" s="1" t="s">
        <v>345</v>
      </c>
      <c r="Q86" s="1" t="s">
        <v>46</v>
      </c>
      <c r="R86" s="1" t="s">
        <v>47</v>
      </c>
      <c r="S86" s="1" t="s">
        <v>47</v>
      </c>
      <c r="T86" s="1" t="s">
        <v>48</v>
      </c>
      <c r="U86" s="1" t="s">
        <v>47</v>
      </c>
      <c r="V86" s="1" t="s">
        <v>47</v>
      </c>
      <c r="W86" s="1" t="s">
        <v>47</v>
      </c>
      <c r="Z86" s="1">
        <v>0</v>
      </c>
      <c r="AB86" s="1" t="s">
        <v>47</v>
      </c>
      <c r="AD86" s="1">
        <v>527371</v>
      </c>
      <c r="AF86" s="1" t="s">
        <v>47</v>
      </c>
      <c r="AG86" s="1" t="s">
        <v>47</v>
      </c>
      <c r="AH86" s="1" t="s">
        <v>49</v>
      </c>
      <c r="AI86" s="1" t="s">
        <v>47</v>
      </c>
      <c r="AK86" s="1" t="s">
        <v>48</v>
      </c>
      <c r="AL86" s="1" t="s">
        <v>350</v>
      </c>
    </row>
    <row r="87" spans="1:38">
      <c r="A87" s="1">
        <v>5136660</v>
      </c>
      <c r="B87" s="1" t="s">
        <v>351</v>
      </c>
      <c r="C87" s="1" t="str">
        <f>"9781292026299"</f>
        <v>9781292026299</v>
      </c>
      <c r="D87" s="1" t="str">
        <f>"9781292038681"</f>
        <v>9781292038681</v>
      </c>
      <c r="E87" s="1" t="s">
        <v>52</v>
      </c>
      <c r="F87" s="1" t="s">
        <v>40</v>
      </c>
      <c r="G87" s="3">
        <v>41515</v>
      </c>
      <c r="H87" s="3">
        <v>1</v>
      </c>
      <c r="I87" s="1" t="s">
        <v>41</v>
      </c>
      <c r="J87" s="1">
        <v>3</v>
      </c>
      <c r="L87" s="1" t="s">
        <v>352</v>
      </c>
      <c r="Q87" s="1" t="s">
        <v>46</v>
      </c>
      <c r="R87" s="1" t="s">
        <v>47</v>
      </c>
      <c r="S87" s="1" t="s">
        <v>47</v>
      </c>
      <c r="T87" s="1" t="s">
        <v>48</v>
      </c>
      <c r="U87" s="1" t="s">
        <v>47</v>
      </c>
      <c r="V87" s="1" t="s">
        <v>47</v>
      </c>
      <c r="W87" s="1" t="s">
        <v>47</v>
      </c>
      <c r="Z87" s="1">
        <v>0</v>
      </c>
      <c r="AB87" s="1" t="s">
        <v>47</v>
      </c>
      <c r="AD87" s="1">
        <v>527168</v>
      </c>
      <c r="AF87" s="1" t="s">
        <v>47</v>
      </c>
      <c r="AG87" s="1" t="s">
        <v>47</v>
      </c>
      <c r="AH87" s="1" t="s">
        <v>49</v>
      </c>
      <c r="AI87" s="1" t="s">
        <v>47</v>
      </c>
      <c r="AK87" s="1" t="s">
        <v>48</v>
      </c>
      <c r="AL87" s="1" t="s">
        <v>353</v>
      </c>
    </row>
    <row r="88" spans="1:38">
      <c r="A88" s="1">
        <v>5136661</v>
      </c>
      <c r="B88" s="1" t="s">
        <v>354</v>
      </c>
      <c r="C88" s="1" t="str">
        <f>"9781292021959"</f>
        <v>9781292021959</v>
      </c>
      <c r="D88" s="1" t="str">
        <f>"9781292035161"</f>
        <v>9781292035161</v>
      </c>
      <c r="E88" s="1" t="s">
        <v>52</v>
      </c>
      <c r="F88" s="1" t="s">
        <v>40</v>
      </c>
      <c r="G88" s="3">
        <v>41513</v>
      </c>
      <c r="H88" s="3">
        <v>1</v>
      </c>
      <c r="I88" s="1" t="s">
        <v>41</v>
      </c>
      <c r="J88" s="1">
        <v>11</v>
      </c>
      <c r="L88" s="1" t="s">
        <v>355</v>
      </c>
      <c r="Q88" s="1" t="s">
        <v>46</v>
      </c>
      <c r="R88" s="1" t="s">
        <v>47</v>
      </c>
      <c r="S88" s="1" t="s">
        <v>47</v>
      </c>
      <c r="T88" s="1" t="s">
        <v>48</v>
      </c>
      <c r="U88" s="1" t="s">
        <v>47</v>
      </c>
      <c r="V88" s="1" t="s">
        <v>47</v>
      </c>
      <c r="W88" s="1" t="s">
        <v>47</v>
      </c>
      <c r="Z88" s="1">
        <v>0</v>
      </c>
      <c r="AB88" s="1" t="s">
        <v>47</v>
      </c>
      <c r="AD88" s="1">
        <v>526995</v>
      </c>
      <c r="AF88" s="1" t="s">
        <v>47</v>
      </c>
      <c r="AG88" s="1" t="s">
        <v>47</v>
      </c>
      <c r="AH88" s="1" t="s">
        <v>49</v>
      </c>
      <c r="AI88" s="1" t="s">
        <v>47</v>
      </c>
      <c r="AK88" s="1" t="s">
        <v>48</v>
      </c>
      <c r="AL88" s="1" t="s">
        <v>356</v>
      </c>
    </row>
    <row r="89" spans="1:38" s="2" customFormat="1">
      <c r="A89" s="2">
        <v>5136663</v>
      </c>
      <c r="B89" s="2" t="s">
        <v>357</v>
      </c>
      <c r="C89" s="2" t="str">
        <f>"9781292023274"</f>
        <v>9781292023274</v>
      </c>
      <c r="D89" s="2" t="str">
        <f>"9781292036441"</f>
        <v>9781292036441</v>
      </c>
      <c r="E89" s="2" t="s">
        <v>52</v>
      </c>
      <c r="F89" s="2" t="s">
        <v>40</v>
      </c>
      <c r="G89" s="3">
        <v>41514</v>
      </c>
      <c r="H89" s="3">
        <v>1</v>
      </c>
      <c r="I89" s="2" t="s">
        <v>41</v>
      </c>
      <c r="J89" s="2">
        <v>4</v>
      </c>
      <c r="L89" s="2" t="s">
        <v>358</v>
      </c>
      <c r="Q89" s="2" t="s">
        <v>46</v>
      </c>
      <c r="R89" s="2" t="s">
        <v>47</v>
      </c>
      <c r="S89" s="2" t="s">
        <v>47</v>
      </c>
      <c r="T89" s="2" t="s">
        <v>48</v>
      </c>
      <c r="U89" s="2" t="s">
        <v>47</v>
      </c>
      <c r="V89" s="2" t="s">
        <v>47</v>
      </c>
      <c r="W89" s="2" t="s">
        <v>47</v>
      </c>
      <c r="Z89" s="2">
        <v>0</v>
      </c>
      <c r="AB89" s="2" t="s">
        <v>47</v>
      </c>
      <c r="AD89" s="2">
        <v>527052</v>
      </c>
      <c r="AF89" s="2" t="s">
        <v>47</v>
      </c>
      <c r="AG89" s="2" t="s">
        <v>47</v>
      </c>
      <c r="AH89" s="2" t="s">
        <v>49</v>
      </c>
      <c r="AI89" s="2" t="s">
        <v>47</v>
      </c>
      <c r="AK89" s="2" t="s">
        <v>48</v>
      </c>
      <c r="AL89" s="2" t="s">
        <v>359</v>
      </c>
    </row>
    <row r="90" spans="1:38">
      <c r="A90" s="1">
        <v>5136664</v>
      </c>
      <c r="B90" s="1" t="s">
        <v>360</v>
      </c>
      <c r="C90" s="1" t="str">
        <f>"9780321435330"</f>
        <v>9780321435330</v>
      </c>
      <c r="D90" s="1" t="str">
        <f>"9780273743538"</f>
        <v>9780273743538</v>
      </c>
      <c r="E90" s="1" t="s">
        <v>52</v>
      </c>
      <c r="F90" s="1" t="s">
        <v>361</v>
      </c>
      <c r="G90" s="3">
        <v>40553</v>
      </c>
      <c r="H90" s="3">
        <v>1</v>
      </c>
      <c r="I90" s="1" t="s">
        <v>41</v>
      </c>
      <c r="J90" s="1">
        <v>2</v>
      </c>
      <c r="L90" s="1" t="s">
        <v>362</v>
      </c>
      <c r="Q90" s="1" t="s">
        <v>46</v>
      </c>
      <c r="R90" s="1" t="s">
        <v>47</v>
      </c>
      <c r="S90" s="1" t="s">
        <v>47</v>
      </c>
      <c r="T90" s="1" t="s">
        <v>48</v>
      </c>
      <c r="U90" s="1" t="s">
        <v>47</v>
      </c>
      <c r="V90" s="1" t="s">
        <v>47</v>
      </c>
      <c r="W90" s="1" t="s">
        <v>47</v>
      </c>
      <c r="Z90" s="1">
        <v>0</v>
      </c>
      <c r="AB90" s="1" t="s">
        <v>47</v>
      </c>
      <c r="AD90" s="1">
        <v>266415</v>
      </c>
      <c r="AF90" s="1" t="s">
        <v>47</v>
      </c>
      <c r="AG90" s="1" t="s">
        <v>47</v>
      </c>
      <c r="AH90" s="1" t="s">
        <v>49</v>
      </c>
      <c r="AI90" s="1" t="s">
        <v>47</v>
      </c>
      <c r="AK90" s="1" t="s">
        <v>48</v>
      </c>
      <c r="AL90" s="1" t="s">
        <v>363</v>
      </c>
    </row>
    <row r="91" spans="1:38">
      <c r="A91" s="1">
        <v>5136665</v>
      </c>
      <c r="B91" s="1" t="s">
        <v>364</v>
      </c>
      <c r="C91" s="1" t="str">
        <f>"9780273753186"</f>
        <v>9780273753186</v>
      </c>
      <c r="D91" s="1" t="str">
        <f>"9781447930242"</f>
        <v>9781447930242</v>
      </c>
      <c r="E91" s="1" t="s">
        <v>52</v>
      </c>
      <c r="F91" s="1" t="s">
        <v>365</v>
      </c>
      <c r="G91" s="3">
        <v>41339</v>
      </c>
      <c r="H91" s="3">
        <v>1</v>
      </c>
      <c r="I91" s="1" t="s">
        <v>41</v>
      </c>
      <c r="J91" s="1">
        <v>12</v>
      </c>
      <c r="L91" s="1" t="s">
        <v>366</v>
      </c>
      <c r="M91" s="1" t="s">
        <v>367</v>
      </c>
      <c r="N91" s="1" t="s">
        <v>368</v>
      </c>
      <c r="O91" s="1">
        <v>519.50246500000003</v>
      </c>
      <c r="Q91" s="1" t="s">
        <v>46</v>
      </c>
      <c r="R91" s="1" t="s">
        <v>47</v>
      </c>
      <c r="S91" s="1" t="s">
        <v>47</v>
      </c>
      <c r="T91" s="1" t="s">
        <v>48</v>
      </c>
      <c r="U91" s="1" t="s">
        <v>47</v>
      </c>
      <c r="V91" s="1" t="s">
        <v>47</v>
      </c>
      <c r="W91" s="1" t="s">
        <v>47</v>
      </c>
      <c r="Z91" s="1">
        <v>0</v>
      </c>
      <c r="AB91" s="1" t="s">
        <v>47</v>
      </c>
      <c r="AD91" s="1">
        <v>463073</v>
      </c>
      <c r="AF91" s="1" t="s">
        <v>47</v>
      </c>
      <c r="AG91" s="1" t="s">
        <v>47</v>
      </c>
      <c r="AH91" s="1" t="s">
        <v>49</v>
      </c>
      <c r="AI91" s="1" t="s">
        <v>47</v>
      </c>
      <c r="AK91" s="1" t="s">
        <v>48</v>
      </c>
      <c r="AL91" s="1" t="s">
        <v>369</v>
      </c>
    </row>
    <row r="92" spans="1:38">
      <c r="A92" s="1">
        <v>5136666</v>
      </c>
      <c r="B92" s="1" t="s">
        <v>370</v>
      </c>
      <c r="C92" s="1" t="str">
        <f>"9781292025117"</f>
        <v>9781292025117</v>
      </c>
      <c r="D92" s="1" t="str">
        <f>"9781292037707"</f>
        <v>9781292037707</v>
      </c>
      <c r="E92" s="1" t="s">
        <v>52</v>
      </c>
      <c r="F92" s="1" t="s">
        <v>40</v>
      </c>
      <c r="G92" s="3">
        <v>41472</v>
      </c>
      <c r="H92" s="3">
        <v>1</v>
      </c>
      <c r="I92" s="1" t="s">
        <v>41</v>
      </c>
      <c r="J92" s="1">
        <v>12</v>
      </c>
      <c r="L92" s="1" t="s">
        <v>371</v>
      </c>
      <c r="M92" s="1" t="s">
        <v>372</v>
      </c>
      <c r="O92" s="1">
        <v>302.2</v>
      </c>
      <c r="Q92" s="1" t="s">
        <v>46</v>
      </c>
      <c r="R92" s="1" t="s">
        <v>47</v>
      </c>
      <c r="S92" s="1" t="s">
        <v>47</v>
      </c>
      <c r="T92" s="1" t="s">
        <v>48</v>
      </c>
      <c r="U92" s="1" t="s">
        <v>47</v>
      </c>
      <c r="V92" s="1" t="s">
        <v>47</v>
      </c>
      <c r="W92" s="1" t="s">
        <v>47</v>
      </c>
      <c r="Z92" s="1">
        <v>0</v>
      </c>
      <c r="AB92" s="1" t="s">
        <v>47</v>
      </c>
      <c r="AD92" s="1">
        <v>527398</v>
      </c>
      <c r="AF92" s="1" t="s">
        <v>47</v>
      </c>
      <c r="AG92" s="1" t="s">
        <v>47</v>
      </c>
      <c r="AH92" s="1" t="s">
        <v>49</v>
      </c>
      <c r="AI92" s="1" t="s">
        <v>47</v>
      </c>
      <c r="AK92" s="1" t="s">
        <v>48</v>
      </c>
      <c r="AL92" s="1" t="s">
        <v>373</v>
      </c>
    </row>
    <row r="93" spans="1:38">
      <c r="A93" s="1">
        <v>5136669</v>
      </c>
      <c r="B93" s="1" t="s">
        <v>374</v>
      </c>
      <c r="C93" s="1" t="str">
        <f>"9781292023694"</f>
        <v>9781292023694</v>
      </c>
      <c r="D93" s="1" t="str">
        <f>"9781292036823"</f>
        <v>9781292036823</v>
      </c>
      <c r="E93" s="1" t="s">
        <v>52</v>
      </c>
      <c r="F93" s="1" t="s">
        <v>40</v>
      </c>
      <c r="G93" s="3">
        <v>41579</v>
      </c>
      <c r="H93" s="3">
        <v>1</v>
      </c>
      <c r="I93" s="1" t="s">
        <v>41</v>
      </c>
      <c r="J93" s="1">
        <v>11</v>
      </c>
      <c r="L93" s="1" t="s">
        <v>375</v>
      </c>
      <c r="Q93" s="1" t="s">
        <v>46</v>
      </c>
      <c r="R93" s="1" t="s">
        <v>47</v>
      </c>
      <c r="S93" s="1" t="s">
        <v>47</v>
      </c>
      <c r="T93" s="1" t="s">
        <v>48</v>
      </c>
      <c r="U93" s="1" t="s">
        <v>47</v>
      </c>
      <c r="V93" s="1" t="s">
        <v>47</v>
      </c>
      <c r="W93" s="1" t="s">
        <v>47</v>
      </c>
      <c r="Z93" s="1">
        <v>0</v>
      </c>
      <c r="AB93" s="1" t="s">
        <v>47</v>
      </c>
      <c r="AD93" s="1">
        <v>527264</v>
      </c>
      <c r="AF93" s="1" t="s">
        <v>47</v>
      </c>
      <c r="AG93" s="1" t="s">
        <v>47</v>
      </c>
      <c r="AH93" s="1" t="s">
        <v>49</v>
      </c>
      <c r="AI93" s="1" t="s">
        <v>47</v>
      </c>
      <c r="AK93" s="1" t="s">
        <v>48</v>
      </c>
      <c r="AL93" s="1" t="s">
        <v>376</v>
      </c>
    </row>
    <row r="94" spans="1:38">
      <c r="A94" s="1">
        <v>5136670</v>
      </c>
      <c r="B94" s="1" t="s">
        <v>377</v>
      </c>
      <c r="C94" s="1" t="str">
        <f>"9781292023595"</f>
        <v>9781292023595</v>
      </c>
      <c r="D94" s="1" t="str">
        <f>"9781292036755"</f>
        <v>9781292036755</v>
      </c>
      <c r="E94" s="1" t="s">
        <v>52</v>
      </c>
      <c r="F94" s="1" t="s">
        <v>40</v>
      </c>
      <c r="G94" s="3">
        <v>41514</v>
      </c>
      <c r="H94" s="3">
        <v>1</v>
      </c>
      <c r="I94" s="1" t="s">
        <v>41</v>
      </c>
      <c r="J94" s="1">
        <v>11</v>
      </c>
      <c r="L94" s="1" t="s">
        <v>378</v>
      </c>
      <c r="Q94" s="1" t="s">
        <v>46</v>
      </c>
      <c r="R94" s="1" t="s">
        <v>47</v>
      </c>
      <c r="S94" s="1" t="s">
        <v>47</v>
      </c>
      <c r="T94" s="1" t="s">
        <v>48</v>
      </c>
      <c r="U94" s="1" t="s">
        <v>47</v>
      </c>
      <c r="V94" s="1" t="s">
        <v>47</v>
      </c>
      <c r="W94" s="1" t="s">
        <v>47</v>
      </c>
      <c r="Z94" s="1">
        <v>0</v>
      </c>
      <c r="AB94" s="1" t="s">
        <v>47</v>
      </c>
      <c r="AD94" s="1">
        <v>527266</v>
      </c>
      <c r="AF94" s="1" t="s">
        <v>47</v>
      </c>
      <c r="AG94" s="1" t="s">
        <v>47</v>
      </c>
      <c r="AH94" s="1" t="s">
        <v>49</v>
      </c>
      <c r="AI94" s="1" t="s">
        <v>47</v>
      </c>
      <c r="AK94" s="1" t="s">
        <v>48</v>
      </c>
      <c r="AL94" s="1" t="s">
        <v>379</v>
      </c>
    </row>
    <row r="95" spans="1:38">
      <c r="A95" s="1">
        <v>5136671</v>
      </c>
      <c r="B95" s="1" t="s">
        <v>380</v>
      </c>
      <c r="C95" s="1" t="str">
        <f>"9781292023779"</f>
        <v>9781292023779</v>
      </c>
      <c r="D95" s="1" t="str">
        <f>"9781292036908"</f>
        <v>9781292036908</v>
      </c>
      <c r="E95" s="1" t="s">
        <v>52</v>
      </c>
      <c r="F95" s="1" t="s">
        <v>40</v>
      </c>
      <c r="G95" s="3">
        <v>41515</v>
      </c>
      <c r="H95" s="3">
        <v>1</v>
      </c>
      <c r="I95" s="1" t="s">
        <v>41</v>
      </c>
      <c r="J95" s="1">
        <v>2</v>
      </c>
      <c r="L95" s="1" t="s">
        <v>381</v>
      </c>
      <c r="Q95" s="1" t="s">
        <v>46</v>
      </c>
      <c r="R95" s="1" t="s">
        <v>47</v>
      </c>
      <c r="S95" s="1" t="s">
        <v>47</v>
      </c>
      <c r="T95" s="1" t="s">
        <v>48</v>
      </c>
      <c r="U95" s="1" t="s">
        <v>47</v>
      </c>
      <c r="V95" s="1" t="s">
        <v>47</v>
      </c>
      <c r="W95" s="1" t="s">
        <v>47</v>
      </c>
      <c r="Z95" s="1">
        <v>0</v>
      </c>
      <c r="AB95" s="1" t="s">
        <v>47</v>
      </c>
      <c r="AD95" s="1">
        <v>527212</v>
      </c>
      <c r="AF95" s="1" t="s">
        <v>47</v>
      </c>
      <c r="AG95" s="1" t="s">
        <v>47</v>
      </c>
      <c r="AH95" s="1" t="s">
        <v>49</v>
      </c>
      <c r="AI95" s="1" t="s">
        <v>47</v>
      </c>
      <c r="AK95" s="1" t="s">
        <v>48</v>
      </c>
      <c r="AL95" s="1" t="s">
        <v>382</v>
      </c>
    </row>
    <row r="96" spans="1:38">
      <c r="A96" s="1">
        <v>5136672</v>
      </c>
      <c r="B96" s="1" t="s">
        <v>383</v>
      </c>
      <c r="C96" s="1" t="str">
        <f>"9781292021485"</f>
        <v>9781292021485</v>
      </c>
      <c r="D96" s="1" t="str">
        <f>"9781292034713"</f>
        <v>9781292034713</v>
      </c>
      <c r="E96" s="1" t="s">
        <v>52</v>
      </c>
      <c r="F96" s="1" t="s">
        <v>40</v>
      </c>
      <c r="G96" s="3">
        <v>41513</v>
      </c>
      <c r="H96" s="3">
        <v>1</v>
      </c>
      <c r="I96" s="1" t="s">
        <v>41</v>
      </c>
      <c r="J96" s="1">
        <v>4</v>
      </c>
      <c r="L96" s="1" t="s">
        <v>384</v>
      </c>
      <c r="Q96" s="1" t="s">
        <v>46</v>
      </c>
      <c r="R96" s="1" t="s">
        <v>47</v>
      </c>
      <c r="S96" s="1" t="s">
        <v>47</v>
      </c>
      <c r="T96" s="1" t="s">
        <v>48</v>
      </c>
      <c r="U96" s="1" t="s">
        <v>47</v>
      </c>
      <c r="V96" s="1" t="s">
        <v>47</v>
      </c>
      <c r="W96" s="1" t="s">
        <v>47</v>
      </c>
      <c r="Z96" s="1">
        <v>0</v>
      </c>
      <c r="AB96" s="1" t="s">
        <v>47</v>
      </c>
      <c r="AD96" s="1">
        <v>527040</v>
      </c>
      <c r="AF96" s="1" t="s">
        <v>47</v>
      </c>
      <c r="AG96" s="1" t="s">
        <v>47</v>
      </c>
      <c r="AH96" s="1" t="s">
        <v>49</v>
      </c>
      <c r="AI96" s="1" t="s">
        <v>47</v>
      </c>
      <c r="AK96" s="1" t="s">
        <v>48</v>
      </c>
      <c r="AL96" s="1" t="s">
        <v>385</v>
      </c>
    </row>
    <row r="97" spans="1:38" s="2" customFormat="1">
      <c r="A97" s="2">
        <v>5136673</v>
      </c>
      <c r="B97" s="2" t="s">
        <v>386</v>
      </c>
      <c r="C97" s="2" t="str">
        <f>"9781292023960"</f>
        <v>9781292023960</v>
      </c>
      <c r="D97" s="2" t="str">
        <f>"9781292037066"</f>
        <v>9781292037066</v>
      </c>
      <c r="E97" s="2" t="s">
        <v>52</v>
      </c>
      <c r="F97" s="2" t="s">
        <v>40</v>
      </c>
      <c r="G97" s="3">
        <v>41515</v>
      </c>
      <c r="H97" s="3">
        <v>1</v>
      </c>
      <c r="I97" s="2" t="s">
        <v>41</v>
      </c>
      <c r="J97" s="2">
        <v>10</v>
      </c>
      <c r="L97" s="2" t="s">
        <v>387</v>
      </c>
      <c r="Q97" s="2" t="s">
        <v>46</v>
      </c>
      <c r="R97" s="2" t="s">
        <v>47</v>
      </c>
      <c r="S97" s="2" t="s">
        <v>47</v>
      </c>
      <c r="T97" s="2" t="s">
        <v>48</v>
      </c>
      <c r="U97" s="2" t="s">
        <v>47</v>
      </c>
      <c r="V97" s="2" t="s">
        <v>47</v>
      </c>
      <c r="W97" s="2" t="s">
        <v>47</v>
      </c>
      <c r="Z97" s="2">
        <v>0</v>
      </c>
      <c r="AB97" s="2" t="s">
        <v>47</v>
      </c>
      <c r="AD97" s="2">
        <v>527071</v>
      </c>
      <c r="AF97" s="2" t="s">
        <v>47</v>
      </c>
      <c r="AG97" s="2" t="s">
        <v>47</v>
      </c>
      <c r="AH97" s="2" t="s">
        <v>49</v>
      </c>
      <c r="AI97" s="2" t="s">
        <v>47</v>
      </c>
      <c r="AK97" s="2" t="s">
        <v>48</v>
      </c>
      <c r="AL97" s="2" t="s">
        <v>388</v>
      </c>
    </row>
    <row r="98" spans="1:38">
      <c r="A98" s="1">
        <v>5136678</v>
      </c>
      <c r="B98" s="1" t="s">
        <v>389</v>
      </c>
      <c r="C98" s="1" t="str">
        <f>"9780273742869"</f>
        <v>9780273742869</v>
      </c>
      <c r="D98" s="1" t="str">
        <f>"9780273742876"</f>
        <v>9780273742876</v>
      </c>
      <c r="E98" s="1" t="s">
        <v>52</v>
      </c>
      <c r="F98" s="1" t="s">
        <v>40</v>
      </c>
      <c r="G98" s="3">
        <v>41339</v>
      </c>
      <c r="H98" s="3">
        <v>1</v>
      </c>
      <c r="I98" s="1" t="s">
        <v>41</v>
      </c>
      <c r="J98" s="1">
        <v>5</v>
      </c>
      <c r="L98" s="1" t="s">
        <v>390</v>
      </c>
      <c r="M98" s="1" t="s">
        <v>391</v>
      </c>
      <c r="N98" s="1" t="s">
        <v>392</v>
      </c>
      <c r="O98" s="1">
        <v>621</v>
      </c>
      <c r="Q98" s="1" t="s">
        <v>46</v>
      </c>
      <c r="R98" s="1" t="s">
        <v>47</v>
      </c>
      <c r="S98" s="1" t="s">
        <v>47</v>
      </c>
      <c r="T98" s="1" t="s">
        <v>48</v>
      </c>
      <c r="U98" s="1" t="s">
        <v>47</v>
      </c>
      <c r="V98" s="1" t="s">
        <v>47</v>
      </c>
      <c r="W98" s="1" t="s">
        <v>47</v>
      </c>
      <c r="Z98" s="1">
        <v>0</v>
      </c>
      <c r="AB98" s="1" t="s">
        <v>47</v>
      </c>
      <c r="AD98" s="1">
        <v>463037</v>
      </c>
      <c r="AF98" s="1" t="s">
        <v>47</v>
      </c>
      <c r="AG98" s="1" t="s">
        <v>47</v>
      </c>
      <c r="AH98" s="1" t="s">
        <v>49</v>
      </c>
      <c r="AI98" s="1" t="s">
        <v>47</v>
      </c>
      <c r="AK98" s="1" t="s">
        <v>48</v>
      </c>
      <c r="AL98" s="1" t="s">
        <v>393</v>
      </c>
    </row>
    <row r="99" spans="1:38">
      <c r="A99" s="1">
        <v>5136681</v>
      </c>
      <c r="B99" s="1" t="s">
        <v>394</v>
      </c>
      <c r="C99" s="1" t="str">
        <f>"9781292023366"</f>
        <v>9781292023366</v>
      </c>
      <c r="D99" s="1" t="str">
        <f>"9781292036533"</f>
        <v>9781292036533</v>
      </c>
      <c r="E99" s="1" t="s">
        <v>52</v>
      </c>
      <c r="F99" s="1" t="s">
        <v>40</v>
      </c>
      <c r="G99" s="3">
        <v>41514</v>
      </c>
      <c r="H99" s="3">
        <v>1</v>
      </c>
      <c r="I99" s="1" t="s">
        <v>41</v>
      </c>
      <c r="J99" s="1">
        <v>6</v>
      </c>
      <c r="L99" s="1" t="s">
        <v>395</v>
      </c>
      <c r="Q99" s="1" t="s">
        <v>46</v>
      </c>
      <c r="R99" s="1" t="s">
        <v>47</v>
      </c>
      <c r="S99" s="1" t="s">
        <v>47</v>
      </c>
      <c r="T99" s="1" t="s">
        <v>48</v>
      </c>
      <c r="U99" s="1" t="s">
        <v>47</v>
      </c>
      <c r="V99" s="1" t="s">
        <v>47</v>
      </c>
      <c r="W99" s="1" t="s">
        <v>47</v>
      </c>
      <c r="Z99" s="1">
        <v>0</v>
      </c>
      <c r="AB99" s="1" t="s">
        <v>47</v>
      </c>
      <c r="AD99" s="1">
        <v>527217</v>
      </c>
      <c r="AF99" s="1" t="s">
        <v>47</v>
      </c>
      <c r="AG99" s="1" t="s">
        <v>47</v>
      </c>
      <c r="AH99" s="1" t="s">
        <v>49</v>
      </c>
      <c r="AI99" s="1" t="s">
        <v>47</v>
      </c>
      <c r="AK99" s="1" t="s">
        <v>48</v>
      </c>
      <c r="AL99" s="1" t="s">
        <v>396</v>
      </c>
    </row>
    <row r="100" spans="1:38">
      <c r="A100" s="1">
        <v>5136682</v>
      </c>
      <c r="B100" s="1" t="s">
        <v>397</v>
      </c>
      <c r="C100" s="1" t="str">
        <f>"9781292022284"</f>
        <v>9781292022284</v>
      </c>
      <c r="D100" s="1" t="str">
        <f>"9781292035482"</f>
        <v>9781292035482</v>
      </c>
      <c r="E100" s="1" t="s">
        <v>52</v>
      </c>
      <c r="F100" s="1" t="s">
        <v>40</v>
      </c>
      <c r="G100" s="3">
        <v>41513</v>
      </c>
      <c r="H100" s="3">
        <v>1</v>
      </c>
      <c r="I100" s="1" t="s">
        <v>41</v>
      </c>
      <c r="J100" s="1">
        <v>6</v>
      </c>
      <c r="L100" s="1" t="s">
        <v>395</v>
      </c>
      <c r="Q100" s="1" t="s">
        <v>46</v>
      </c>
      <c r="R100" s="1" t="s">
        <v>47</v>
      </c>
      <c r="S100" s="1" t="s">
        <v>47</v>
      </c>
      <c r="T100" s="1" t="s">
        <v>48</v>
      </c>
      <c r="U100" s="1" t="s">
        <v>47</v>
      </c>
      <c r="V100" s="1" t="s">
        <v>47</v>
      </c>
      <c r="W100" s="1" t="s">
        <v>47</v>
      </c>
      <c r="Z100" s="1">
        <v>0</v>
      </c>
      <c r="AB100" s="1" t="s">
        <v>47</v>
      </c>
      <c r="AD100" s="1">
        <v>527422</v>
      </c>
      <c r="AF100" s="1" t="s">
        <v>47</v>
      </c>
      <c r="AG100" s="1" t="s">
        <v>47</v>
      </c>
      <c r="AH100" s="1" t="s">
        <v>49</v>
      </c>
      <c r="AI100" s="1" t="s">
        <v>47</v>
      </c>
      <c r="AK100" s="1" t="s">
        <v>48</v>
      </c>
      <c r="AL100" s="1" t="s">
        <v>398</v>
      </c>
    </row>
    <row r="101" spans="1:38" s="2" customFormat="1">
      <c r="A101" s="2">
        <v>5136684</v>
      </c>
      <c r="B101" s="2" t="s">
        <v>399</v>
      </c>
      <c r="C101" s="2" t="str">
        <f>"9781292024004"</f>
        <v>9781292024004</v>
      </c>
      <c r="D101" s="2" t="str">
        <f>"9781292037080"</f>
        <v>9781292037080</v>
      </c>
      <c r="E101" s="2" t="s">
        <v>52</v>
      </c>
      <c r="F101" s="2" t="s">
        <v>40</v>
      </c>
      <c r="G101" s="3">
        <v>41515</v>
      </c>
      <c r="H101" s="3">
        <v>1</v>
      </c>
      <c r="I101" s="2" t="s">
        <v>41</v>
      </c>
      <c r="J101" s="2">
        <v>12</v>
      </c>
      <c r="L101" s="2" t="s">
        <v>400</v>
      </c>
      <c r="Q101" s="2" t="s">
        <v>46</v>
      </c>
      <c r="R101" s="2" t="s">
        <v>47</v>
      </c>
      <c r="S101" s="2" t="s">
        <v>47</v>
      </c>
      <c r="T101" s="2" t="s">
        <v>48</v>
      </c>
      <c r="U101" s="2" t="s">
        <v>47</v>
      </c>
      <c r="V101" s="2" t="s">
        <v>47</v>
      </c>
      <c r="W101" s="2" t="s">
        <v>47</v>
      </c>
      <c r="Z101" s="2">
        <v>0</v>
      </c>
      <c r="AB101" s="2" t="s">
        <v>47</v>
      </c>
      <c r="AD101" s="2">
        <v>527059</v>
      </c>
      <c r="AF101" s="2" t="s">
        <v>47</v>
      </c>
      <c r="AG101" s="2" t="s">
        <v>47</v>
      </c>
      <c r="AH101" s="2" t="s">
        <v>49</v>
      </c>
      <c r="AI101" s="2" t="s">
        <v>47</v>
      </c>
      <c r="AK101" s="2" t="s">
        <v>48</v>
      </c>
      <c r="AL101" s="2" t="s">
        <v>401</v>
      </c>
    </row>
    <row r="102" spans="1:38">
      <c r="A102" s="1">
        <v>5136688</v>
      </c>
      <c r="B102" s="1" t="s">
        <v>402</v>
      </c>
      <c r="C102" s="1" t="str">
        <f>""</f>
        <v/>
      </c>
      <c r="D102" s="1" t="str">
        <f>"9780273775409"</f>
        <v>9780273775409</v>
      </c>
      <c r="E102" s="1" t="s">
        <v>52</v>
      </c>
      <c r="F102" s="1" t="s">
        <v>365</v>
      </c>
      <c r="G102" s="3">
        <v>41353</v>
      </c>
      <c r="H102" s="3">
        <v>1</v>
      </c>
      <c r="I102" s="1" t="s">
        <v>41</v>
      </c>
      <c r="J102" s="1">
        <v>2</v>
      </c>
      <c r="L102" s="1" t="s">
        <v>403</v>
      </c>
      <c r="Q102" s="1" t="s">
        <v>46</v>
      </c>
      <c r="R102" s="1" t="s">
        <v>47</v>
      </c>
      <c r="S102" s="1" t="s">
        <v>47</v>
      </c>
      <c r="T102" s="1" t="s">
        <v>48</v>
      </c>
      <c r="U102" s="1" t="s">
        <v>47</v>
      </c>
      <c r="V102" s="1" t="s">
        <v>47</v>
      </c>
      <c r="W102" s="1" t="s">
        <v>47</v>
      </c>
      <c r="Z102" s="1">
        <v>0</v>
      </c>
      <c r="AB102" s="1" t="s">
        <v>47</v>
      </c>
      <c r="AD102" s="1">
        <v>469798</v>
      </c>
      <c r="AF102" s="1" t="s">
        <v>47</v>
      </c>
      <c r="AG102" s="1" t="s">
        <v>47</v>
      </c>
      <c r="AH102" s="1" t="s">
        <v>49</v>
      </c>
      <c r="AI102" s="1" t="s">
        <v>47</v>
      </c>
      <c r="AK102" s="1" t="s">
        <v>48</v>
      </c>
      <c r="AL102" s="1" t="s">
        <v>404</v>
      </c>
    </row>
    <row r="103" spans="1:38">
      <c r="A103" s="1">
        <v>5136689</v>
      </c>
      <c r="B103" s="1" t="s">
        <v>405</v>
      </c>
      <c r="C103" s="1" t="str">
        <f>"9780273751397"</f>
        <v>9780273751397</v>
      </c>
      <c r="D103" s="1" t="str">
        <f>"9781447930440"</f>
        <v>9781447930440</v>
      </c>
      <c r="E103" s="1" t="s">
        <v>52</v>
      </c>
      <c r="F103" s="1" t="s">
        <v>365</v>
      </c>
      <c r="G103" s="3">
        <v>41584</v>
      </c>
      <c r="H103" s="3">
        <v>1</v>
      </c>
      <c r="I103" s="1" t="s">
        <v>41</v>
      </c>
      <c r="J103" s="1">
        <v>11</v>
      </c>
      <c r="L103" s="1" t="s">
        <v>406</v>
      </c>
      <c r="Q103" s="1" t="s">
        <v>46</v>
      </c>
      <c r="R103" s="1" t="s">
        <v>47</v>
      </c>
      <c r="S103" s="1" t="s">
        <v>47</v>
      </c>
      <c r="T103" s="1" t="s">
        <v>48</v>
      </c>
      <c r="U103" s="1" t="s">
        <v>47</v>
      </c>
      <c r="V103" s="1" t="s">
        <v>47</v>
      </c>
      <c r="W103" s="1" t="s">
        <v>47</v>
      </c>
      <c r="Z103" s="1">
        <v>0</v>
      </c>
      <c r="AB103" s="1" t="s">
        <v>47</v>
      </c>
      <c r="AD103" s="1">
        <v>523744</v>
      </c>
      <c r="AF103" s="1" t="s">
        <v>47</v>
      </c>
      <c r="AG103" s="1" t="s">
        <v>47</v>
      </c>
      <c r="AH103" s="1" t="s">
        <v>49</v>
      </c>
      <c r="AI103" s="1" t="s">
        <v>47</v>
      </c>
      <c r="AK103" s="1" t="s">
        <v>48</v>
      </c>
      <c r="AL103" s="1" t="s">
        <v>407</v>
      </c>
    </row>
    <row r="104" spans="1:38" s="2" customFormat="1">
      <c r="A104" s="2">
        <v>5136690</v>
      </c>
      <c r="B104" s="2" t="s">
        <v>408</v>
      </c>
      <c r="C104" s="2" t="str">
        <f>"9780273732952"</f>
        <v>9780273732952</v>
      </c>
      <c r="D104" s="2" t="str">
        <f>"9780273732990"</f>
        <v>9780273732990</v>
      </c>
      <c r="E104" s="2" t="s">
        <v>52</v>
      </c>
      <c r="F104" s="2" t="s">
        <v>67</v>
      </c>
      <c r="G104" s="3">
        <v>40745</v>
      </c>
      <c r="H104" s="3">
        <v>1</v>
      </c>
      <c r="I104" s="2" t="s">
        <v>41</v>
      </c>
      <c r="J104" s="2">
        <v>2</v>
      </c>
      <c r="L104" s="2" t="s">
        <v>409</v>
      </c>
      <c r="M104" s="2" t="s">
        <v>59</v>
      </c>
      <c r="N104" s="2" t="s">
        <v>410</v>
      </c>
      <c r="O104" s="2">
        <v>658.30079999999998</v>
      </c>
      <c r="Q104" s="2" t="s">
        <v>46</v>
      </c>
      <c r="R104" s="2" t="s">
        <v>47</v>
      </c>
      <c r="S104" s="2" t="s">
        <v>47</v>
      </c>
      <c r="T104" s="2" t="s">
        <v>48</v>
      </c>
      <c r="U104" s="2" t="s">
        <v>47</v>
      </c>
      <c r="V104" s="2" t="s">
        <v>47</v>
      </c>
      <c r="W104" s="2" t="s">
        <v>47</v>
      </c>
      <c r="Z104" s="2">
        <v>0</v>
      </c>
      <c r="AB104" s="2" t="s">
        <v>47</v>
      </c>
      <c r="AD104" s="2">
        <v>317325</v>
      </c>
      <c r="AF104" s="2" t="s">
        <v>47</v>
      </c>
      <c r="AG104" s="2" t="s">
        <v>47</v>
      </c>
      <c r="AH104" s="2" t="s">
        <v>49</v>
      </c>
      <c r="AI104" s="2" t="s">
        <v>47</v>
      </c>
      <c r="AK104" s="2" t="s">
        <v>48</v>
      </c>
      <c r="AL104" s="2" t="s">
        <v>411</v>
      </c>
    </row>
    <row r="105" spans="1:38">
      <c r="A105" s="1">
        <v>5136691</v>
      </c>
      <c r="B105" s="1" t="s">
        <v>412</v>
      </c>
      <c r="C105" s="1" t="str">
        <f>"9781292021522"</f>
        <v>9781292021522</v>
      </c>
      <c r="D105" s="1" t="str">
        <f>"9781292034751"</f>
        <v>9781292034751</v>
      </c>
      <c r="E105" s="1" t="s">
        <v>52</v>
      </c>
      <c r="F105" s="1" t="s">
        <v>40</v>
      </c>
      <c r="G105" s="3">
        <v>41513</v>
      </c>
      <c r="H105" s="3">
        <v>1</v>
      </c>
      <c r="I105" s="1" t="s">
        <v>41</v>
      </c>
      <c r="J105" s="1">
        <v>12</v>
      </c>
      <c r="L105" s="1" t="s">
        <v>413</v>
      </c>
      <c r="M105" s="1" t="s">
        <v>414</v>
      </c>
      <c r="N105" s="1" t="s">
        <v>415</v>
      </c>
      <c r="O105" s="1">
        <v>540</v>
      </c>
      <c r="Q105" s="1" t="s">
        <v>46</v>
      </c>
      <c r="R105" s="1" t="s">
        <v>47</v>
      </c>
      <c r="S105" s="1" t="s">
        <v>47</v>
      </c>
      <c r="T105" s="1" t="s">
        <v>48</v>
      </c>
      <c r="U105" s="1" t="s">
        <v>47</v>
      </c>
      <c r="V105" s="1" t="s">
        <v>47</v>
      </c>
      <c r="W105" s="1" t="s">
        <v>47</v>
      </c>
      <c r="Z105" s="1">
        <v>0</v>
      </c>
      <c r="AB105" s="1" t="s">
        <v>47</v>
      </c>
      <c r="AD105" s="1">
        <v>526998</v>
      </c>
      <c r="AF105" s="1" t="s">
        <v>47</v>
      </c>
      <c r="AG105" s="1" t="s">
        <v>47</v>
      </c>
      <c r="AH105" s="1" t="s">
        <v>49</v>
      </c>
      <c r="AI105" s="1" t="s">
        <v>47</v>
      </c>
      <c r="AK105" s="1" t="s">
        <v>48</v>
      </c>
      <c r="AL105" s="1" t="s">
        <v>416</v>
      </c>
    </row>
    <row r="106" spans="1:38">
      <c r="A106" s="1">
        <v>5136692</v>
      </c>
      <c r="B106" s="1" t="s">
        <v>417</v>
      </c>
      <c r="C106" s="1" t="str">
        <f>"9781292027609"</f>
        <v>9781292027609</v>
      </c>
      <c r="D106" s="1" t="str">
        <f>"9781292052168"</f>
        <v>9781292052168</v>
      </c>
      <c r="E106" s="1" t="s">
        <v>52</v>
      </c>
      <c r="F106" s="1" t="s">
        <v>40</v>
      </c>
      <c r="G106" s="3">
        <v>41550</v>
      </c>
      <c r="H106" s="3">
        <v>1</v>
      </c>
      <c r="I106" s="1" t="s">
        <v>41</v>
      </c>
      <c r="J106" s="1">
        <v>10</v>
      </c>
      <c r="L106" s="1" t="s">
        <v>418</v>
      </c>
      <c r="Q106" s="1" t="s">
        <v>46</v>
      </c>
      <c r="R106" s="1" t="s">
        <v>47</v>
      </c>
      <c r="S106" s="1" t="s">
        <v>47</v>
      </c>
      <c r="T106" s="1" t="s">
        <v>48</v>
      </c>
      <c r="U106" s="1" t="s">
        <v>47</v>
      </c>
      <c r="V106" s="1" t="s">
        <v>47</v>
      </c>
      <c r="W106" s="1" t="s">
        <v>47</v>
      </c>
      <c r="Z106" s="1">
        <v>0</v>
      </c>
      <c r="AB106" s="1" t="s">
        <v>47</v>
      </c>
      <c r="AD106" s="1">
        <v>543558</v>
      </c>
      <c r="AF106" s="1" t="s">
        <v>47</v>
      </c>
      <c r="AG106" s="1" t="s">
        <v>47</v>
      </c>
      <c r="AH106" s="1" t="s">
        <v>49</v>
      </c>
      <c r="AI106" s="1" t="s">
        <v>47</v>
      </c>
      <c r="AK106" s="1" t="s">
        <v>48</v>
      </c>
      <c r="AL106" s="1" t="s">
        <v>419</v>
      </c>
    </row>
    <row r="107" spans="1:38">
      <c r="A107" s="1">
        <v>5136693</v>
      </c>
      <c r="B107" s="1" t="s">
        <v>420</v>
      </c>
      <c r="C107" s="1" t="str">
        <f>"9781292024363"</f>
        <v>9781292024363</v>
      </c>
      <c r="D107" s="1" t="str">
        <f>"9781292037257"</f>
        <v>9781292037257</v>
      </c>
      <c r="E107" s="1" t="s">
        <v>52</v>
      </c>
      <c r="F107" s="1" t="s">
        <v>40</v>
      </c>
      <c r="G107" s="3">
        <v>41485</v>
      </c>
      <c r="H107" s="3">
        <v>1</v>
      </c>
      <c r="I107" s="1" t="s">
        <v>41</v>
      </c>
      <c r="J107" s="1">
        <v>7</v>
      </c>
      <c r="L107" s="1" t="s">
        <v>421</v>
      </c>
      <c r="M107" s="1" t="s">
        <v>422</v>
      </c>
      <c r="O107" s="1">
        <v>547</v>
      </c>
      <c r="Q107" s="1" t="s">
        <v>46</v>
      </c>
      <c r="R107" s="1" t="s">
        <v>47</v>
      </c>
      <c r="S107" s="1" t="s">
        <v>47</v>
      </c>
      <c r="T107" s="1" t="s">
        <v>48</v>
      </c>
      <c r="U107" s="1" t="s">
        <v>47</v>
      </c>
      <c r="V107" s="1" t="s">
        <v>47</v>
      </c>
      <c r="W107" s="1" t="s">
        <v>47</v>
      </c>
      <c r="Z107" s="1">
        <v>0</v>
      </c>
      <c r="AB107" s="1" t="s">
        <v>47</v>
      </c>
      <c r="AD107" s="1">
        <v>527161</v>
      </c>
      <c r="AF107" s="1" t="s">
        <v>47</v>
      </c>
      <c r="AG107" s="1" t="s">
        <v>47</v>
      </c>
      <c r="AH107" s="1" t="s">
        <v>49</v>
      </c>
      <c r="AI107" s="1" t="s">
        <v>47</v>
      </c>
      <c r="AK107" s="1" t="s">
        <v>48</v>
      </c>
      <c r="AL107" s="1" t="s">
        <v>423</v>
      </c>
    </row>
    <row r="108" spans="1:38" s="2" customFormat="1">
      <c r="A108" s="2">
        <v>5136694</v>
      </c>
      <c r="B108" s="2" t="s">
        <v>424</v>
      </c>
      <c r="C108" s="2" t="str">
        <f>"9781292020815"</f>
        <v>9781292020815</v>
      </c>
      <c r="D108" s="2" t="str">
        <f>"9781292034065"</f>
        <v>9781292034065</v>
      </c>
      <c r="E108" s="2" t="s">
        <v>52</v>
      </c>
      <c r="F108" s="2" t="s">
        <v>40</v>
      </c>
      <c r="G108" s="3">
        <v>41513</v>
      </c>
      <c r="H108" s="3">
        <v>1</v>
      </c>
      <c r="I108" s="2" t="s">
        <v>41</v>
      </c>
      <c r="J108" s="2">
        <v>2</v>
      </c>
      <c r="L108" s="2" t="s">
        <v>421</v>
      </c>
      <c r="Q108" s="2" t="s">
        <v>46</v>
      </c>
      <c r="R108" s="2" t="s">
        <v>47</v>
      </c>
      <c r="S108" s="2" t="s">
        <v>47</v>
      </c>
      <c r="T108" s="2" t="s">
        <v>48</v>
      </c>
      <c r="U108" s="2" t="s">
        <v>47</v>
      </c>
      <c r="V108" s="2" t="s">
        <v>47</v>
      </c>
      <c r="W108" s="2" t="s">
        <v>47</v>
      </c>
      <c r="Z108" s="2">
        <v>0</v>
      </c>
      <c r="AB108" s="2" t="s">
        <v>47</v>
      </c>
      <c r="AD108" s="2">
        <v>527184</v>
      </c>
      <c r="AF108" s="2" t="s">
        <v>47</v>
      </c>
      <c r="AG108" s="2" t="s">
        <v>47</v>
      </c>
      <c r="AH108" s="2" t="s">
        <v>49</v>
      </c>
      <c r="AI108" s="2" t="s">
        <v>47</v>
      </c>
      <c r="AK108" s="2" t="s">
        <v>48</v>
      </c>
      <c r="AL108" s="2" t="s">
        <v>425</v>
      </c>
    </row>
    <row r="109" spans="1:38">
      <c r="A109" s="1">
        <v>5136696</v>
      </c>
      <c r="B109" s="1" t="s">
        <v>426</v>
      </c>
      <c r="C109" s="1" t="str">
        <f>"9781292022406"</f>
        <v>9781292022406</v>
      </c>
      <c r="D109" s="1" t="str">
        <f>"9781292035604"</f>
        <v>9781292035604</v>
      </c>
      <c r="E109" s="1" t="s">
        <v>52</v>
      </c>
      <c r="F109" s="1" t="s">
        <v>40</v>
      </c>
      <c r="G109" s="3">
        <v>41514</v>
      </c>
      <c r="H109" s="3">
        <v>1</v>
      </c>
      <c r="I109" s="1" t="s">
        <v>41</v>
      </c>
      <c r="J109" s="1">
        <v>4</v>
      </c>
      <c r="L109" s="1" t="s">
        <v>427</v>
      </c>
      <c r="Q109" s="1" t="s">
        <v>46</v>
      </c>
      <c r="R109" s="1" t="s">
        <v>47</v>
      </c>
      <c r="S109" s="1" t="s">
        <v>47</v>
      </c>
      <c r="T109" s="1" t="s">
        <v>48</v>
      </c>
      <c r="U109" s="1" t="s">
        <v>47</v>
      </c>
      <c r="V109" s="1" t="s">
        <v>47</v>
      </c>
      <c r="W109" s="1" t="s">
        <v>47</v>
      </c>
      <c r="Z109" s="1">
        <v>0</v>
      </c>
      <c r="AB109" s="1" t="s">
        <v>47</v>
      </c>
      <c r="AD109" s="1">
        <v>527044</v>
      </c>
      <c r="AF109" s="1" t="s">
        <v>47</v>
      </c>
      <c r="AG109" s="1" t="s">
        <v>47</v>
      </c>
      <c r="AH109" s="1" t="s">
        <v>49</v>
      </c>
      <c r="AI109" s="1" t="s">
        <v>47</v>
      </c>
      <c r="AK109" s="1" t="s">
        <v>48</v>
      </c>
      <c r="AL109" s="1" t="s">
        <v>428</v>
      </c>
    </row>
    <row r="110" spans="1:38">
      <c r="A110" s="1">
        <v>5136697</v>
      </c>
      <c r="B110" s="1" t="s">
        <v>429</v>
      </c>
      <c r="C110" s="1" t="str">
        <f>"9780273730712"</f>
        <v>9780273730712</v>
      </c>
      <c r="D110" s="1" t="str">
        <f>"9780273731061"</f>
        <v>9780273731061</v>
      </c>
      <c r="E110" s="1" t="s">
        <v>52</v>
      </c>
      <c r="F110" s="1" t="s">
        <v>67</v>
      </c>
      <c r="G110" s="3">
        <v>40553</v>
      </c>
      <c r="H110" s="3">
        <v>1</v>
      </c>
      <c r="I110" s="1" t="s">
        <v>41</v>
      </c>
      <c r="J110" s="1">
        <v>5</v>
      </c>
      <c r="L110" s="1" t="s">
        <v>430</v>
      </c>
      <c r="M110" s="1" t="s">
        <v>59</v>
      </c>
      <c r="O110" s="1">
        <v>650.1</v>
      </c>
      <c r="Q110" s="1" t="s">
        <v>46</v>
      </c>
      <c r="R110" s="1" t="s">
        <v>47</v>
      </c>
      <c r="S110" s="1" t="s">
        <v>47</v>
      </c>
      <c r="T110" s="1" t="s">
        <v>48</v>
      </c>
      <c r="U110" s="1" t="s">
        <v>47</v>
      </c>
      <c r="V110" s="1" t="s">
        <v>47</v>
      </c>
      <c r="W110" s="1" t="s">
        <v>47</v>
      </c>
      <c r="Z110" s="1">
        <v>0</v>
      </c>
      <c r="AB110" s="1" t="s">
        <v>47</v>
      </c>
      <c r="AD110" s="1">
        <v>253024</v>
      </c>
      <c r="AF110" s="1" t="s">
        <v>47</v>
      </c>
      <c r="AG110" s="1" t="s">
        <v>47</v>
      </c>
      <c r="AH110" s="1" t="s">
        <v>49</v>
      </c>
      <c r="AI110" s="1" t="s">
        <v>47</v>
      </c>
      <c r="AK110" s="1" t="s">
        <v>48</v>
      </c>
      <c r="AL110" s="1" t="s">
        <v>431</v>
      </c>
    </row>
    <row r="111" spans="1:38">
      <c r="A111" s="1">
        <v>5136698</v>
      </c>
      <c r="B111" s="1" t="s">
        <v>432</v>
      </c>
      <c r="C111" s="1" t="str">
        <f>"9780273749998"</f>
        <v>9780273749998</v>
      </c>
      <c r="D111" s="1" t="str">
        <f>"9780273750000"</f>
        <v>9780273750000</v>
      </c>
      <c r="E111" s="1" t="s">
        <v>52</v>
      </c>
      <c r="F111" s="1" t="s">
        <v>67</v>
      </c>
      <c r="G111" s="3">
        <v>40695</v>
      </c>
      <c r="H111" s="3">
        <v>1</v>
      </c>
      <c r="I111" s="1" t="s">
        <v>41</v>
      </c>
      <c r="J111" s="1">
        <v>7</v>
      </c>
      <c r="L111" s="1" t="s">
        <v>430</v>
      </c>
      <c r="M111" s="1" t="s">
        <v>59</v>
      </c>
      <c r="N111" s="1" t="s">
        <v>433</v>
      </c>
      <c r="O111" s="1">
        <v>658</v>
      </c>
      <c r="P111" s="1" t="s">
        <v>434</v>
      </c>
      <c r="Q111" s="1" t="s">
        <v>46</v>
      </c>
      <c r="R111" s="1" t="s">
        <v>47</v>
      </c>
      <c r="S111" s="1" t="s">
        <v>47</v>
      </c>
      <c r="T111" s="1" t="s">
        <v>48</v>
      </c>
      <c r="U111" s="1" t="s">
        <v>47</v>
      </c>
      <c r="V111" s="1" t="s">
        <v>47</v>
      </c>
      <c r="W111" s="1" t="s">
        <v>47</v>
      </c>
      <c r="Z111" s="1">
        <v>0</v>
      </c>
      <c r="AB111" s="1" t="s">
        <v>47</v>
      </c>
      <c r="AD111" s="1">
        <v>404623</v>
      </c>
      <c r="AF111" s="1" t="s">
        <v>47</v>
      </c>
      <c r="AG111" s="1" t="s">
        <v>47</v>
      </c>
      <c r="AH111" s="1" t="s">
        <v>49</v>
      </c>
      <c r="AI111" s="1" t="s">
        <v>47</v>
      </c>
      <c r="AK111" s="1" t="s">
        <v>48</v>
      </c>
      <c r="AL111" s="1" t="s">
        <v>435</v>
      </c>
    </row>
    <row r="112" spans="1:38">
      <c r="A112" s="1">
        <v>5136702</v>
      </c>
      <c r="B112" s="1" t="s">
        <v>436</v>
      </c>
      <c r="C112" s="1" t="str">
        <f>"9781447923541"</f>
        <v>9781447923541</v>
      </c>
      <c r="D112" s="1" t="str">
        <f>"9781447923558"</f>
        <v>9781447923558</v>
      </c>
      <c r="E112" s="1" t="s">
        <v>52</v>
      </c>
      <c r="F112" s="1" t="s">
        <v>40</v>
      </c>
      <c r="G112" s="3">
        <v>41436</v>
      </c>
      <c r="H112" s="3">
        <v>1</v>
      </c>
      <c r="I112" s="1" t="s">
        <v>41</v>
      </c>
      <c r="J112" s="1">
        <v>7</v>
      </c>
      <c r="L112" s="1" t="s">
        <v>437</v>
      </c>
      <c r="Q112" s="1" t="s">
        <v>46</v>
      </c>
      <c r="R112" s="1" t="s">
        <v>47</v>
      </c>
      <c r="S112" s="1" t="s">
        <v>47</v>
      </c>
      <c r="T112" s="1" t="s">
        <v>48</v>
      </c>
      <c r="U112" s="1" t="s">
        <v>47</v>
      </c>
      <c r="V112" s="1" t="s">
        <v>47</v>
      </c>
      <c r="W112" s="1" t="s">
        <v>47</v>
      </c>
      <c r="Z112" s="1">
        <v>0</v>
      </c>
      <c r="AB112" s="1" t="s">
        <v>47</v>
      </c>
      <c r="AD112" s="1">
        <v>497459</v>
      </c>
      <c r="AF112" s="1" t="s">
        <v>47</v>
      </c>
      <c r="AG112" s="1" t="s">
        <v>47</v>
      </c>
      <c r="AH112" s="1" t="s">
        <v>49</v>
      </c>
      <c r="AI112" s="1" t="s">
        <v>47</v>
      </c>
      <c r="AK112" s="1" t="s">
        <v>48</v>
      </c>
      <c r="AL112" s="1" t="s">
        <v>438</v>
      </c>
    </row>
    <row r="113" spans="1:38">
      <c r="A113" s="1">
        <v>5136707</v>
      </c>
      <c r="B113" s="1" t="s">
        <v>439</v>
      </c>
      <c r="C113" s="1" t="str">
        <f>"9780273746102"</f>
        <v>9780273746102</v>
      </c>
      <c r="D113" s="1" t="str">
        <f>"9780273746225"</f>
        <v>9780273746225</v>
      </c>
      <c r="E113" s="1" t="s">
        <v>52</v>
      </c>
      <c r="F113" s="1" t="s">
        <v>40</v>
      </c>
      <c r="G113" s="3">
        <v>41194</v>
      </c>
      <c r="H113" s="3">
        <v>1</v>
      </c>
      <c r="I113" s="1" t="s">
        <v>41</v>
      </c>
      <c r="J113" s="1">
        <v>5</v>
      </c>
      <c r="L113" s="1" t="s">
        <v>440</v>
      </c>
      <c r="Q113" s="1" t="s">
        <v>46</v>
      </c>
      <c r="R113" s="1" t="s">
        <v>47</v>
      </c>
      <c r="S113" s="1" t="s">
        <v>47</v>
      </c>
      <c r="T113" s="1" t="s">
        <v>48</v>
      </c>
      <c r="U113" s="1" t="s">
        <v>47</v>
      </c>
      <c r="V113" s="1" t="s">
        <v>47</v>
      </c>
      <c r="W113" s="1" t="s">
        <v>47</v>
      </c>
      <c r="Z113" s="1">
        <v>0</v>
      </c>
      <c r="AB113" s="1" t="s">
        <v>47</v>
      </c>
      <c r="AD113" s="1">
        <v>399626</v>
      </c>
      <c r="AF113" s="1" t="s">
        <v>47</v>
      </c>
      <c r="AG113" s="1" t="s">
        <v>47</v>
      </c>
      <c r="AH113" s="1" t="s">
        <v>49</v>
      </c>
      <c r="AI113" s="1" t="s">
        <v>47</v>
      </c>
      <c r="AK113" s="1" t="s">
        <v>48</v>
      </c>
      <c r="AL113" s="1" t="s">
        <v>441</v>
      </c>
    </row>
    <row r="114" spans="1:38">
      <c r="A114" s="1">
        <v>5136709</v>
      </c>
      <c r="B114" s="1" t="s">
        <v>442</v>
      </c>
      <c r="C114" s="1" t="str">
        <f>"9781292023519"</f>
        <v>9781292023519</v>
      </c>
      <c r="D114" s="1" t="str">
        <f>"9781292036687"</f>
        <v>9781292036687</v>
      </c>
      <c r="E114" s="1" t="s">
        <v>52</v>
      </c>
      <c r="F114" s="1" t="s">
        <v>40</v>
      </c>
      <c r="G114" s="3">
        <v>41514</v>
      </c>
      <c r="H114" s="3">
        <v>1</v>
      </c>
      <c r="I114" s="1" t="s">
        <v>41</v>
      </c>
      <c r="J114" s="1">
        <v>7</v>
      </c>
      <c r="L114" s="1" t="s">
        <v>443</v>
      </c>
      <c r="Q114" s="1" t="s">
        <v>46</v>
      </c>
      <c r="R114" s="1" t="s">
        <v>47</v>
      </c>
      <c r="S114" s="1" t="s">
        <v>47</v>
      </c>
      <c r="T114" s="1" t="s">
        <v>48</v>
      </c>
      <c r="U114" s="1" t="s">
        <v>47</v>
      </c>
      <c r="V114" s="1" t="s">
        <v>47</v>
      </c>
      <c r="W114" s="1" t="s">
        <v>47</v>
      </c>
      <c r="Z114" s="1">
        <v>0</v>
      </c>
      <c r="AB114" s="1" t="s">
        <v>47</v>
      </c>
      <c r="AD114" s="1">
        <v>527051</v>
      </c>
      <c r="AF114" s="1" t="s">
        <v>47</v>
      </c>
      <c r="AG114" s="1" t="s">
        <v>47</v>
      </c>
      <c r="AH114" s="1" t="s">
        <v>49</v>
      </c>
      <c r="AI114" s="1" t="s">
        <v>47</v>
      </c>
      <c r="AK114" s="1" t="s">
        <v>48</v>
      </c>
      <c r="AL114" s="1" t="s">
        <v>444</v>
      </c>
    </row>
    <row r="115" spans="1:38">
      <c r="A115" s="1">
        <v>5136711</v>
      </c>
      <c r="B115" s="1" t="s">
        <v>445</v>
      </c>
      <c r="C115" s="1" t="str">
        <f>"9781292022345"</f>
        <v>9781292022345</v>
      </c>
      <c r="D115" s="1" t="str">
        <f>"9781292035543"</f>
        <v>9781292035543</v>
      </c>
      <c r="E115" s="1" t="s">
        <v>52</v>
      </c>
      <c r="F115" s="1" t="s">
        <v>40</v>
      </c>
      <c r="G115" s="3">
        <v>41513</v>
      </c>
      <c r="H115" s="3">
        <v>1</v>
      </c>
      <c r="I115" s="1" t="s">
        <v>41</v>
      </c>
      <c r="J115" s="1">
        <v>11</v>
      </c>
      <c r="L115" s="1" t="s">
        <v>446</v>
      </c>
      <c r="Q115" s="1" t="s">
        <v>46</v>
      </c>
      <c r="R115" s="1" t="s">
        <v>47</v>
      </c>
      <c r="S115" s="1" t="s">
        <v>47</v>
      </c>
      <c r="T115" s="1" t="s">
        <v>48</v>
      </c>
      <c r="U115" s="1" t="s">
        <v>47</v>
      </c>
      <c r="V115" s="1" t="s">
        <v>47</v>
      </c>
      <c r="W115" s="1" t="s">
        <v>47</v>
      </c>
      <c r="Z115" s="1">
        <v>0</v>
      </c>
      <c r="AB115" s="1" t="s">
        <v>47</v>
      </c>
      <c r="AD115" s="1">
        <v>527041</v>
      </c>
      <c r="AF115" s="1" t="s">
        <v>47</v>
      </c>
      <c r="AG115" s="1" t="s">
        <v>47</v>
      </c>
      <c r="AH115" s="1" t="s">
        <v>49</v>
      </c>
      <c r="AI115" s="1" t="s">
        <v>47</v>
      </c>
      <c r="AK115" s="1" t="s">
        <v>48</v>
      </c>
      <c r="AL115" s="1" t="s">
        <v>447</v>
      </c>
    </row>
    <row r="116" spans="1:38">
      <c r="A116" s="1">
        <v>5136712</v>
      </c>
      <c r="B116" s="1" t="s">
        <v>448</v>
      </c>
      <c r="C116" s="1" t="str">
        <f>"9781292027432"</f>
        <v>9781292027432</v>
      </c>
      <c r="D116" s="1" t="str">
        <f>"9781292052380"</f>
        <v>9781292052380</v>
      </c>
      <c r="E116" s="1" t="s">
        <v>52</v>
      </c>
      <c r="F116" s="1" t="s">
        <v>40</v>
      </c>
      <c r="G116" s="3">
        <v>41550</v>
      </c>
      <c r="H116" s="3">
        <v>1</v>
      </c>
      <c r="I116" s="1" t="s">
        <v>41</v>
      </c>
      <c r="J116" s="1">
        <v>9</v>
      </c>
      <c r="L116" s="1" t="s">
        <v>449</v>
      </c>
      <c r="Q116" s="1" t="s">
        <v>46</v>
      </c>
      <c r="R116" s="1" t="s">
        <v>47</v>
      </c>
      <c r="S116" s="1" t="s">
        <v>47</v>
      </c>
      <c r="T116" s="1" t="s">
        <v>48</v>
      </c>
      <c r="U116" s="1" t="s">
        <v>47</v>
      </c>
      <c r="V116" s="1" t="s">
        <v>47</v>
      </c>
      <c r="W116" s="1" t="s">
        <v>47</v>
      </c>
      <c r="Z116" s="1">
        <v>0</v>
      </c>
      <c r="AB116" s="1" t="s">
        <v>47</v>
      </c>
      <c r="AD116" s="1">
        <v>543463</v>
      </c>
      <c r="AF116" s="1" t="s">
        <v>47</v>
      </c>
      <c r="AG116" s="1" t="s">
        <v>47</v>
      </c>
      <c r="AH116" s="1" t="s">
        <v>49</v>
      </c>
      <c r="AI116" s="1" t="s">
        <v>47</v>
      </c>
      <c r="AK116" s="1" t="s">
        <v>48</v>
      </c>
      <c r="AL116" s="1" t="s">
        <v>450</v>
      </c>
    </row>
    <row r="117" spans="1:38">
      <c r="A117" s="1">
        <v>5136713</v>
      </c>
      <c r="B117" s="1" t="s">
        <v>451</v>
      </c>
      <c r="C117" s="1" t="str">
        <f>"9781292020716"</f>
        <v>9781292020716</v>
      </c>
      <c r="D117" s="1" t="str">
        <f>"9781292033969"</f>
        <v>9781292033969</v>
      </c>
      <c r="E117" s="1" t="s">
        <v>52</v>
      </c>
      <c r="F117" s="1" t="s">
        <v>40</v>
      </c>
      <c r="G117" s="3">
        <v>41513</v>
      </c>
      <c r="H117" s="3">
        <v>1</v>
      </c>
      <c r="I117" s="1" t="s">
        <v>41</v>
      </c>
      <c r="J117" s="1">
        <v>8</v>
      </c>
      <c r="L117" s="1" t="s">
        <v>452</v>
      </c>
      <c r="Q117" s="1" t="s">
        <v>46</v>
      </c>
      <c r="R117" s="1" t="s">
        <v>47</v>
      </c>
      <c r="S117" s="1" t="s">
        <v>47</v>
      </c>
      <c r="T117" s="1" t="s">
        <v>48</v>
      </c>
      <c r="U117" s="1" t="s">
        <v>47</v>
      </c>
      <c r="V117" s="1" t="s">
        <v>47</v>
      </c>
      <c r="W117" s="1" t="s">
        <v>47</v>
      </c>
      <c r="Z117" s="1">
        <v>0</v>
      </c>
      <c r="AB117" s="1" t="s">
        <v>47</v>
      </c>
      <c r="AD117" s="1">
        <v>526955</v>
      </c>
      <c r="AF117" s="1" t="s">
        <v>47</v>
      </c>
      <c r="AG117" s="1" t="s">
        <v>47</v>
      </c>
      <c r="AH117" s="1" t="s">
        <v>49</v>
      </c>
      <c r="AI117" s="1" t="s">
        <v>47</v>
      </c>
      <c r="AK117" s="1" t="s">
        <v>48</v>
      </c>
      <c r="AL117" s="1" t="s">
        <v>453</v>
      </c>
    </row>
    <row r="118" spans="1:38">
      <c r="A118" s="1">
        <v>5136715</v>
      </c>
      <c r="B118" s="1" t="s">
        <v>454</v>
      </c>
      <c r="C118" s="1" t="str">
        <f>"9781292022093"</f>
        <v>9781292022093</v>
      </c>
      <c r="D118" s="1" t="str">
        <f>"9781292035307"</f>
        <v>9781292035307</v>
      </c>
      <c r="E118" s="1" t="s">
        <v>52</v>
      </c>
      <c r="F118" s="1" t="s">
        <v>40</v>
      </c>
      <c r="G118" s="3">
        <v>41513</v>
      </c>
      <c r="H118" s="3">
        <v>1</v>
      </c>
      <c r="I118" s="1" t="s">
        <v>41</v>
      </c>
      <c r="J118" s="1">
        <v>3</v>
      </c>
      <c r="L118" s="1" t="s">
        <v>455</v>
      </c>
      <c r="Q118" s="1" t="s">
        <v>46</v>
      </c>
      <c r="R118" s="1" t="s">
        <v>47</v>
      </c>
      <c r="S118" s="1" t="s">
        <v>47</v>
      </c>
      <c r="T118" s="1" t="s">
        <v>48</v>
      </c>
      <c r="U118" s="1" t="s">
        <v>47</v>
      </c>
      <c r="V118" s="1" t="s">
        <v>47</v>
      </c>
      <c r="W118" s="1" t="s">
        <v>47</v>
      </c>
      <c r="Z118" s="1">
        <v>0</v>
      </c>
      <c r="AB118" s="1" t="s">
        <v>47</v>
      </c>
      <c r="AD118" s="1">
        <v>526988</v>
      </c>
      <c r="AF118" s="1" t="s">
        <v>47</v>
      </c>
      <c r="AG118" s="1" t="s">
        <v>47</v>
      </c>
      <c r="AH118" s="1" t="s">
        <v>49</v>
      </c>
      <c r="AI118" s="1" t="s">
        <v>47</v>
      </c>
      <c r="AK118" s="1" t="s">
        <v>48</v>
      </c>
      <c r="AL118" s="1" t="s">
        <v>456</v>
      </c>
    </row>
    <row r="119" spans="1:38">
      <c r="A119" s="1">
        <v>5136716</v>
      </c>
      <c r="B119" s="1" t="s">
        <v>457</v>
      </c>
      <c r="C119" s="1" t="str">
        <f>""</f>
        <v/>
      </c>
      <c r="D119" s="1" t="str">
        <f>"9780273740551"</f>
        <v>9780273740551</v>
      </c>
      <c r="E119" s="1" t="s">
        <v>52</v>
      </c>
      <c r="F119" s="1" t="s">
        <v>157</v>
      </c>
      <c r="G119" s="3">
        <v>40630</v>
      </c>
      <c r="H119" s="3">
        <v>1</v>
      </c>
      <c r="I119" s="1" t="s">
        <v>41</v>
      </c>
      <c r="J119" s="1">
        <v>1</v>
      </c>
      <c r="L119" s="1" t="s">
        <v>458</v>
      </c>
      <c r="Q119" s="1" t="s">
        <v>46</v>
      </c>
      <c r="R119" s="1" t="s">
        <v>47</v>
      </c>
      <c r="S119" s="1" t="s">
        <v>47</v>
      </c>
      <c r="T119" s="1" t="s">
        <v>48</v>
      </c>
      <c r="U119" s="1" t="s">
        <v>47</v>
      </c>
      <c r="V119" s="1" t="s">
        <v>47</v>
      </c>
      <c r="W119" s="1" t="s">
        <v>47</v>
      </c>
      <c r="Z119" s="1">
        <v>0</v>
      </c>
      <c r="AB119" s="1" t="s">
        <v>47</v>
      </c>
      <c r="AD119" s="1">
        <v>305613</v>
      </c>
      <c r="AF119" s="1" t="s">
        <v>47</v>
      </c>
      <c r="AG119" s="1" t="s">
        <v>47</v>
      </c>
      <c r="AH119" s="1" t="s">
        <v>49</v>
      </c>
      <c r="AI119" s="1" t="s">
        <v>47</v>
      </c>
      <c r="AK119" s="1" t="s">
        <v>48</v>
      </c>
      <c r="AL119" s="1" t="s">
        <v>459</v>
      </c>
    </row>
    <row r="120" spans="1:38">
      <c r="A120" s="1">
        <v>5136719</v>
      </c>
      <c r="B120" s="1" t="s">
        <v>460</v>
      </c>
      <c r="C120" s="1" t="str">
        <f>"9781292041209"</f>
        <v>9781292041209</v>
      </c>
      <c r="D120" s="1" t="str">
        <f>"9781292052458"</f>
        <v>9781292052458</v>
      </c>
      <c r="E120" s="1" t="s">
        <v>52</v>
      </c>
      <c r="F120" s="1" t="s">
        <v>40</v>
      </c>
      <c r="G120" s="3">
        <v>41550</v>
      </c>
      <c r="H120" s="3">
        <v>1</v>
      </c>
      <c r="I120" s="1" t="s">
        <v>41</v>
      </c>
      <c r="J120" s="1">
        <v>4</v>
      </c>
      <c r="L120" s="1" t="s">
        <v>461</v>
      </c>
      <c r="Q120" s="1" t="s">
        <v>46</v>
      </c>
      <c r="R120" s="1" t="s">
        <v>47</v>
      </c>
      <c r="S120" s="1" t="s">
        <v>47</v>
      </c>
      <c r="T120" s="1" t="s">
        <v>48</v>
      </c>
      <c r="U120" s="1" t="s">
        <v>47</v>
      </c>
      <c r="V120" s="1" t="s">
        <v>47</v>
      </c>
      <c r="W120" s="1" t="s">
        <v>47</v>
      </c>
      <c r="Z120" s="1">
        <v>0</v>
      </c>
      <c r="AB120" s="1" t="s">
        <v>47</v>
      </c>
      <c r="AD120" s="1">
        <v>543329</v>
      </c>
      <c r="AF120" s="1" t="s">
        <v>47</v>
      </c>
      <c r="AG120" s="1" t="s">
        <v>47</v>
      </c>
      <c r="AH120" s="1" t="s">
        <v>49</v>
      </c>
      <c r="AI120" s="1" t="s">
        <v>47</v>
      </c>
      <c r="AK120" s="1" t="s">
        <v>48</v>
      </c>
      <c r="AL120" s="1" t="s">
        <v>462</v>
      </c>
    </row>
    <row r="121" spans="1:38">
      <c r="A121" s="1">
        <v>5136722</v>
      </c>
      <c r="B121" s="1" t="s">
        <v>463</v>
      </c>
      <c r="C121" s="1" t="str">
        <f>"9781447923404"</f>
        <v>9781447923404</v>
      </c>
      <c r="D121" s="1" t="str">
        <f>"9781447923411"</f>
        <v>9781447923411</v>
      </c>
      <c r="E121" s="1" t="s">
        <v>52</v>
      </c>
      <c r="F121" s="1" t="s">
        <v>40</v>
      </c>
      <c r="G121" s="3">
        <v>41393</v>
      </c>
      <c r="H121" s="3">
        <v>1</v>
      </c>
      <c r="I121" s="1" t="s">
        <v>41</v>
      </c>
      <c r="J121" s="1">
        <v>11</v>
      </c>
      <c r="L121" s="1" t="s">
        <v>464</v>
      </c>
      <c r="Q121" s="1" t="s">
        <v>46</v>
      </c>
      <c r="R121" s="1" t="s">
        <v>47</v>
      </c>
      <c r="S121" s="1" t="s">
        <v>47</v>
      </c>
      <c r="T121" s="1" t="s">
        <v>48</v>
      </c>
      <c r="U121" s="1" t="s">
        <v>47</v>
      </c>
      <c r="V121" s="1" t="s">
        <v>47</v>
      </c>
      <c r="W121" s="1" t="s">
        <v>47</v>
      </c>
      <c r="Z121" s="1">
        <v>0</v>
      </c>
      <c r="AB121" s="1" t="s">
        <v>47</v>
      </c>
      <c r="AD121" s="1">
        <v>485118</v>
      </c>
      <c r="AF121" s="1" t="s">
        <v>47</v>
      </c>
      <c r="AG121" s="1" t="s">
        <v>47</v>
      </c>
      <c r="AH121" s="1" t="s">
        <v>49</v>
      </c>
      <c r="AI121" s="1" t="s">
        <v>47</v>
      </c>
      <c r="AK121" s="1" t="s">
        <v>48</v>
      </c>
      <c r="AL121" s="1" t="s">
        <v>465</v>
      </c>
    </row>
    <row r="122" spans="1:38">
      <c r="A122" s="1">
        <v>5136723</v>
      </c>
      <c r="B122" s="1" t="s">
        <v>466</v>
      </c>
      <c r="C122" s="1" t="str">
        <f>"9781292024820"</f>
        <v>9781292024820</v>
      </c>
      <c r="D122" s="1" t="str">
        <f>"9781292037493"</f>
        <v>9781292037493</v>
      </c>
      <c r="E122" s="1" t="s">
        <v>52</v>
      </c>
      <c r="F122" s="1" t="s">
        <v>40</v>
      </c>
      <c r="G122" s="3">
        <v>41486</v>
      </c>
      <c r="H122" s="3">
        <v>1</v>
      </c>
      <c r="I122" s="1" t="s">
        <v>41</v>
      </c>
      <c r="J122" s="1">
        <v>14</v>
      </c>
      <c r="L122" s="1" t="s">
        <v>467</v>
      </c>
      <c r="M122" s="1" t="s">
        <v>468</v>
      </c>
      <c r="O122" s="1">
        <v>160</v>
      </c>
      <c r="Q122" s="1" t="s">
        <v>46</v>
      </c>
      <c r="R122" s="1" t="s">
        <v>47</v>
      </c>
      <c r="S122" s="1" t="s">
        <v>47</v>
      </c>
      <c r="T122" s="1" t="s">
        <v>48</v>
      </c>
      <c r="U122" s="1" t="s">
        <v>47</v>
      </c>
      <c r="V122" s="1" t="s">
        <v>47</v>
      </c>
      <c r="W122" s="1" t="s">
        <v>47</v>
      </c>
      <c r="Z122" s="1">
        <v>0</v>
      </c>
      <c r="AB122" s="1" t="s">
        <v>47</v>
      </c>
      <c r="AD122" s="1">
        <v>527070</v>
      </c>
      <c r="AF122" s="1" t="s">
        <v>47</v>
      </c>
      <c r="AG122" s="1" t="s">
        <v>47</v>
      </c>
      <c r="AH122" s="1" t="s">
        <v>49</v>
      </c>
      <c r="AI122" s="1" t="s">
        <v>47</v>
      </c>
      <c r="AK122" s="1" t="s">
        <v>48</v>
      </c>
      <c r="AL122" s="1" t="s">
        <v>469</v>
      </c>
    </row>
    <row r="123" spans="1:38">
      <c r="A123" s="1">
        <v>5136724</v>
      </c>
      <c r="B123" s="1" t="s">
        <v>470</v>
      </c>
      <c r="C123" s="1" t="str">
        <f>"9781292027319"</f>
        <v>9781292027319</v>
      </c>
      <c r="D123" s="1" t="str">
        <f>"9781292056326"</f>
        <v>9781292056326</v>
      </c>
      <c r="E123" s="1" t="s">
        <v>52</v>
      </c>
      <c r="F123" s="1" t="s">
        <v>40</v>
      </c>
      <c r="G123" s="3">
        <v>41550</v>
      </c>
      <c r="H123" s="3">
        <v>1</v>
      </c>
      <c r="I123" s="1" t="s">
        <v>41</v>
      </c>
      <c r="J123" s="1">
        <v>8</v>
      </c>
      <c r="L123" s="1" t="s">
        <v>471</v>
      </c>
      <c r="Q123" s="1" t="s">
        <v>46</v>
      </c>
      <c r="R123" s="1" t="s">
        <v>47</v>
      </c>
      <c r="S123" s="1" t="s">
        <v>47</v>
      </c>
      <c r="T123" s="1" t="s">
        <v>48</v>
      </c>
      <c r="U123" s="1" t="s">
        <v>47</v>
      </c>
      <c r="V123" s="1" t="s">
        <v>47</v>
      </c>
      <c r="W123" s="1" t="s">
        <v>47</v>
      </c>
      <c r="Z123" s="1">
        <v>0</v>
      </c>
      <c r="AB123" s="1" t="s">
        <v>47</v>
      </c>
      <c r="AD123" s="1">
        <v>543343</v>
      </c>
      <c r="AF123" s="1" t="s">
        <v>47</v>
      </c>
      <c r="AG123" s="1" t="s">
        <v>47</v>
      </c>
      <c r="AH123" s="1" t="s">
        <v>49</v>
      </c>
      <c r="AI123" s="1" t="s">
        <v>47</v>
      </c>
      <c r="AK123" s="1" t="s">
        <v>48</v>
      </c>
      <c r="AL123" s="1" t="s">
        <v>472</v>
      </c>
    </row>
    <row r="124" spans="1:38">
      <c r="A124" s="1">
        <v>5136726</v>
      </c>
      <c r="B124" s="1" t="s">
        <v>473</v>
      </c>
      <c r="C124" s="1" t="str">
        <f>"9781292022628"</f>
        <v>9781292022628</v>
      </c>
      <c r="D124" s="1" t="str">
        <f>"9781292035826"</f>
        <v>9781292035826</v>
      </c>
      <c r="E124" s="1" t="s">
        <v>52</v>
      </c>
      <c r="F124" s="1" t="s">
        <v>40</v>
      </c>
      <c r="G124" s="3">
        <v>41514</v>
      </c>
      <c r="H124" s="3">
        <v>1</v>
      </c>
      <c r="I124" s="1" t="s">
        <v>41</v>
      </c>
      <c r="J124" s="1">
        <v>6</v>
      </c>
      <c r="L124" s="1" t="s">
        <v>474</v>
      </c>
      <c r="Q124" s="1" t="s">
        <v>46</v>
      </c>
      <c r="R124" s="1" t="s">
        <v>47</v>
      </c>
      <c r="S124" s="1" t="s">
        <v>47</v>
      </c>
      <c r="T124" s="1" t="s">
        <v>48</v>
      </c>
      <c r="U124" s="1" t="s">
        <v>47</v>
      </c>
      <c r="V124" s="1" t="s">
        <v>47</v>
      </c>
      <c r="W124" s="1" t="s">
        <v>47</v>
      </c>
      <c r="Z124" s="1">
        <v>0</v>
      </c>
      <c r="AB124" s="1" t="s">
        <v>47</v>
      </c>
      <c r="AD124" s="1">
        <v>527254</v>
      </c>
      <c r="AF124" s="1" t="s">
        <v>47</v>
      </c>
      <c r="AG124" s="1" t="s">
        <v>47</v>
      </c>
      <c r="AH124" s="1" t="s">
        <v>49</v>
      </c>
      <c r="AI124" s="1" t="s">
        <v>47</v>
      </c>
      <c r="AK124" s="1" t="s">
        <v>48</v>
      </c>
      <c r="AL124" s="1" t="s">
        <v>475</v>
      </c>
    </row>
    <row r="125" spans="1:38">
      <c r="A125" s="1">
        <v>5136727</v>
      </c>
      <c r="B125" s="1" t="s">
        <v>476</v>
      </c>
      <c r="C125" s="1" t="str">
        <f>"9780273729402"</f>
        <v>9780273729402</v>
      </c>
      <c r="D125" s="1" t="str">
        <f>"9780273729488"</f>
        <v>9780273729488</v>
      </c>
      <c r="E125" s="1" t="s">
        <v>52</v>
      </c>
      <c r="F125" s="1" t="s">
        <v>157</v>
      </c>
      <c r="G125" s="3">
        <v>40227</v>
      </c>
      <c r="H125" s="3">
        <v>1</v>
      </c>
      <c r="I125" s="1" t="s">
        <v>41</v>
      </c>
      <c r="J125" s="1">
        <v>5</v>
      </c>
      <c r="L125" s="1" t="s">
        <v>477</v>
      </c>
      <c r="M125" s="1" t="s">
        <v>242</v>
      </c>
      <c r="N125" s="1" t="s">
        <v>478</v>
      </c>
      <c r="O125" s="1">
        <v>510</v>
      </c>
      <c r="P125" s="1" t="s">
        <v>242</v>
      </c>
      <c r="Q125" s="1" t="s">
        <v>46</v>
      </c>
      <c r="R125" s="1" t="s">
        <v>47</v>
      </c>
      <c r="S125" s="1" t="s">
        <v>47</v>
      </c>
      <c r="T125" s="1" t="s">
        <v>48</v>
      </c>
      <c r="U125" s="1" t="s">
        <v>47</v>
      </c>
      <c r="V125" s="1" t="s">
        <v>47</v>
      </c>
      <c r="W125" s="1" t="s">
        <v>47</v>
      </c>
      <c r="Z125" s="1">
        <v>0</v>
      </c>
      <c r="AB125" s="1" t="s">
        <v>47</v>
      </c>
      <c r="AD125" s="1">
        <v>327534</v>
      </c>
      <c r="AF125" s="1" t="s">
        <v>47</v>
      </c>
      <c r="AG125" s="1" t="s">
        <v>47</v>
      </c>
      <c r="AH125" s="1" t="s">
        <v>49</v>
      </c>
      <c r="AI125" s="1" t="s">
        <v>47</v>
      </c>
      <c r="AK125" s="1" t="s">
        <v>48</v>
      </c>
      <c r="AL125" s="1" t="s">
        <v>479</v>
      </c>
    </row>
    <row r="126" spans="1:38">
      <c r="A126" s="1">
        <v>5136731</v>
      </c>
      <c r="B126" s="1" t="s">
        <v>480</v>
      </c>
      <c r="C126" s="1" t="str">
        <f>"9781292020921"</f>
        <v>9781292020921</v>
      </c>
      <c r="D126" s="1" t="str">
        <f>"9781292034171"</f>
        <v>9781292034171</v>
      </c>
      <c r="E126" s="1" t="s">
        <v>52</v>
      </c>
      <c r="F126" s="1" t="s">
        <v>40</v>
      </c>
      <c r="G126" s="3">
        <v>41485</v>
      </c>
      <c r="H126" s="3">
        <v>1</v>
      </c>
      <c r="I126" s="1" t="s">
        <v>41</v>
      </c>
      <c r="J126" s="1">
        <v>3</v>
      </c>
      <c r="L126" s="1" t="s">
        <v>481</v>
      </c>
      <c r="M126" s="1" t="s">
        <v>482</v>
      </c>
      <c r="O126" s="1">
        <v>616.02499999999998</v>
      </c>
      <c r="Q126" s="1" t="s">
        <v>46</v>
      </c>
      <c r="R126" s="1" t="s">
        <v>47</v>
      </c>
      <c r="S126" s="1" t="s">
        <v>47</v>
      </c>
      <c r="T126" s="1" t="s">
        <v>48</v>
      </c>
      <c r="U126" s="1" t="s">
        <v>47</v>
      </c>
      <c r="V126" s="1" t="s">
        <v>47</v>
      </c>
      <c r="W126" s="1" t="s">
        <v>47</v>
      </c>
      <c r="Z126" s="1">
        <v>0</v>
      </c>
      <c r="AB126" s="1" t="s">
        <v>47</v>
      </c>
      <c r="AD126" s="1">
        <v>527258</v>
      </c>
      <c r="AF126" s="1" t="s">
        <v>47</v>
      </c>
      <c r="AG126" s="1" t="s">
        <v>47</v>
      </c>
      <c r="AH126" s="1" t="s">
        <v>49</v>
      </c>
      <c r="AI126" s="1" t="s">
        <v>47</v>
      </c>
      <c r="AK126" s="1" t="s">
        <v>48</v>
      </c>
      <c r="AL126" s="1" t="s">
        <v>483</v>
      </c>
    </row>
    <row r="127" spans="1:38">
      <c r="A127" s="1">
        <v>5136732</v>
      </c>
      <c r="B127" s="1" t="s">
        <v>484</v>
      </c>
      <c r="C127" s="1" t="str">
        <f>"9780273740704"</f>
        <v>9780273740704</v>
      </c>
      <c r="D127" s="1" t="str">
        <f>"9780273740902"</f>
        <v>9780273740902</v>
      </c>
      <c r="E127" s="1" t="s">
        <v>52</v>
      </c>
      <c r="F127" s="1" t="s">
        <v>40</v>
      </c>
      <c r="G127" s="3">
        <v>41128</v>
      </c>
      <c r="H127" s="3">
        <v>1</v>
      </c>
      <c r="I127" s="1" t="s">
        <v>41</v>
      </c>
      <c r="J127" s="1">
        <v>4</v>
      </c>
      <c r="L127" s="1" t="s">
        <v>485</v>
      </c>
      <c r="M127" s="1" t="s">
        <v>486</v>
      </c>
      <c r="N127" s="1" t="s">
        <v>487</v>
      </c>
      <c r="O127" s="1">
        <v>304.2</v>
      </c>
      <c r="Q127" s="1" t="s">
        <v>46</v>
      </c>
      <c r="R127" s="1" t="s">
        <v>47</v>
      </c>
      <c r="S127" s="1" t="s">
        <v>47</v>
      </c>
      <c r="T127" s="1" t="s">
        <v>48</v>
      </c>
      <c r="U127" s="1" t="s">
        <v>47</v>
      </c>
      <c r="V127" s="1" t="s">
        <v>47</v>
      </c>
      <c r="W127" s="1" t="s">
        <v>47</v>
      </c>
      <c r="Z127" s="1">
        <v>0</v>
      </c>
      <c r="AB127" s="1" t="s">
        <v>47</v>
      </c>
      <c r="AD127" s="1">
        <v>385401</v>
      </c>
      <c r="AF127" s="1" t="s">
        <v>47</v>
      </c>
      <c r="AG127" s="1" t="s">
        <v>47</v>
      </c>
      <c r="AH127" s="1" t="s">
        <v>49</v>
      </c>
      <c r="AI127" s="1" t="s">
        <v>47</v>
      </c>
      <c r="AK127" s="1" t="s">
        <v>48</v>
      </c>
      <c r="AL127" s="1" t="s">
        <v>488</v>
      </c>
    </row>
    <row r="128" spans="1:38">
      <c r="A128" s="1">
        <v>5136738</v>
      </c>
      <c r="B128" s="1" t="s">
        <v>489</v>
      </c>
      <c r="C128" s="1" t="str">
        <f>"9781292027999"</f>
        <v>9781292027999</v>
      </c>
      <c r="D128" s="1" t="str">
        <f>"9781292052618"</f>
        <v>9781292052618</v>
      </c>
      <c r="E128" s="1" t="s">
        <v>52</v>
      </c>
      <c r="F128" s="1" t="s">
        <v>40</v>
      </c>
      <c r="G128" s="3">
        <v>41475</v>
      </c>
      <c r="H128" s="3">
        <v>1</v>
      </c>
      <c r="I128" s="1" t="s">
        <v>41</v>
      </c>
      <c r="J128" s="1">
        <v>4</v>
      </c>
      <c r="L128" s="1" t="s">
        <v>490</v>
      </c>
      <c r="M128" s="1" t="s">
        <v>100</v>
      </c>
      <c r="O128" s="1">
        <v>153.80000000000001</v>
      </c>
      <c r="Q128" s="1" t="s">
        <v>46</v>
      </c>
      <c r="R128" s="1" t="s">
        <v>47</v>
      </c>
      <c r="S128" s="1" t="s">
        <v>47</v>
      </c>
      <c r="T128" s="1" t="s">
        <v>48</v>
      </c>
      <c r="U128" s="1" t="s">
        <v>47</v>
      </c>
      <c r="V128" s="1" t="s">
        <v>47</v>
      </c>
      <c r="W128" s="1" t="s">
        <v>47</v>
      </c>
      <c r="Z128" s="1">
        <v>0</v>
      </c>
      <c r="AB128" s="1" t="s">
        <v>47</v>
      </c>
      <c r="AD128" s="1">
        <v>543339</v>
      </c>
      <c r="AF128" s="1" t="s">
        <v>47</v>
      </c>
      <c r="AG128" s="1" t="s">
        <v>47</v>
      </c>
      <c r="AH128" s="1" t="s">
        <v>49</v>
      </c>
      <c r="AI128" s="1" t="s">
        <v>47</v>
      </c>
      <c r="AK128" s="1" t="s">
        <v>48</v>
      </c>
      <c r="AL128" s="1" t="s">
        <v>491</v>
      </c>
    </row>
    <row r="129" spans="1:38">
      <c r="A129" s="1">
        <v>5136742</v>
      </c>
      <c r="B129" s="1" t="s">
        <v>492</v>
      </c>
      <c r="C129" s="1" t="str">
        <f>"9780273759768"</f>
        <v>9780273759768</v>
      </c>
      <c r="D129" s="1" t="str">
        <f>"9781447930167"</f>
        <v>9781447930167</v>
      </c>
      <c r="E129" s="1" t="s">
        <v>52</v>
      </c>
      <c r="F129" s="1" t="s">
        <v>365</v>
      </c>
      <c r="G129" s="3">
        <v>41584</v>
      </c>
      <c r="H129" s="3">
        <v>1</v>
      </c>
      <c r="I129" s="1" t="s">
        <v>41</v>
      </c>
      <c r="J129" s="1">
        <v>9</v>
      </c>
      <c r="L129" s="1" t="s">
        <v>493</v>
      </c>
      <c r="Q129" s="1" t="s">
        <v>46</v>
      </c>
      <c r="R129" s="1" t="s">
        <v>47</v>
      </c>
      <c r="S129" s="1" t="s">
        <v>47</v>
      </c>
      <c r="T129" s="1" t="s">
        <v>48</v>
      </c>
      <c r="U129" s="1" t="s">
        <v>47</v>
      </c>
      <c r="V129" s="1" t="s">
        <v>47</v>
      </c>
      <c r="W129" s="1" t="s">
        <v>47</v>
      </c>
      <c r="Z129" s="1">
        <v>0</v>
      </c>
      <c r="AB129" s="1" t="s">
        <v>47</v>
      </c>
      <c r="AD129" s="1">
        <v>531208</v>
      </c>
      <c r="AF129" s="1" t="s">
        <v>47</v>
      </c>
      <c r="AG129" s="1" t="s">
        <v>47</v>
      </c>
      <c r="AH129" s="1" t="s">
        <v>49</v>
      </c>
      <c r="AI129" s="1" t="s">
        <v>47</v>
      </c>
      <c r="AK129" s="1" t="s">
        <v>48</v>
      </c>
      <c r="AL129" s="1" t="s">
        <v>494</v>
      </c>
    </row>
    <row r="130" spans="1:38">
      <c r="A130" s="1">
        <v>5136744</v>
      </c>
      <c r="B130" s="1" t="s">
        <v>495</v>
      </c>
      <c r="C130" s="1" t="str">
        <f>"9781292022413"</f>
        <v>9781292022413</v>
      </c>
      <c r="D130" s="1" t="str">
        <f>"9781292035611"</f>
        <v>9781292035611</v>
      </c>
      <c r="E130" s="1" t="s">
        <v>52</v>
      </c>
      <c r="F130" s="1" t="s">
        <v>40</v>
      </c>
      <c r="G130" s="3">
        <v>41514</v>
      </c>
      <c r="H130" s="3">
        <v>1</v>
      </c>
      <c r="I130" s="1" t="s">
        <v>41</v>
      </c>
      <c r="J130" s="1">
        <v>8</v>
      </c>
      <c r="L130" s="1" t="s">
        <v>496</v>
      </c>
      <c r="Q130" s="1" t="s">
        <v>46</v>
      </c>
      <c r="R130" s="1" t="s">
        <v>47</v>
      </c>
      <c r="S130" s="1" t="s">
        <v>47</v>
      </c>
      <c r="T130" s="1" t="s">
        <v>48</v>
      </c>
      <c r="U130" s="1" t="s">
        <v>47</v>
      </c>
      <c r="V130" s="1" t="s">
        <v>47</v>
      </c>
      <c r="W130" s="1" t="s">
        <v>47</v>
      </c>
      <c r="Z130" s="1">
        <v>0</v>
      </c>
      <c r="AB130" s="1" t="s">
        <v>47</v>
      </c>
      <c r="AD130" s="1">
        <v>527391</v>
      </c>
      <c r="AF130" s="1" t="s">
        <v>47</v>
      </c>
      <c r="AG130" s="1" t="s">
        <v>47</v>
      </c>
      <c r="AH130" s="1" t="s">
        <v>49</v>
      </c>
      <c r="AI130" s="1" t="s">
        <v>47</v>
      </c>
      <c r="AK130" s="1" t="s">
        <v>48</v>
      </c>
      <c r="AL130" s="1" t="s">
        <v>497</v>
      </c>
    </row>
    <row r="131" spans="1:38">
      <c r="A131" s="1">
        <v>5136748</v>
      </c>
      <c r="B131" s="1" t="s">
        <v>498</v>
      </c>
      <c r="C131" s="1" t="str">
        <f>"9781292025162"</f>
        <v>9781292025162</v>
      </c>
      <c r="D131" s="1" t="str">
        <f>"9781292037752"</f>
        <v>9781292037752</v>
      </c>
      <c r="E131" s="1" t="s">
        <v>52</v>
      </c>
      <c r="F131" s="1" t="s">
        <v>40</v>
      </c>
      <c r="G131" s="3">
        <v>41515</v>
      </c>
      <c r="H131" s="3">
        <v>1</v>
      </c>
      <c r="I131" s="1" t="s">
        <v>41</v>
      </c>
      <c r="J131" s="1">
        <v>13</v>
      </c>
      <c r="L131" s="1" t="s">
        <v>499</v>
      </c>
      <c r="Q131" s="1" t="s">
        <v>46</v>
      </c>
      <c r="R131" s="1" t="s">
        <v>47</v>
      </c>
      <c r="S131" s="1" t="s">
        <v>47</v>
      </c>
      <c r="T131" s="1" t="s">
        <v>48</v>
      </c>
      <c r="U131" s="1" t="s">
        <v>47</v>
      </c>
      <c r="V131" s="1" t="s">
        <v>47</v>
      </c>
      <c r="W131" s="1" t="s">
        <v>47</v>
      </c>
      <c r="Z131" s="1">
        <v>0</v>
      </c>
      <c r="AB131" s="1" t="s">
        <v>47</v>
      </c>
      <c r="AD131" s="1">
        <v>527082</v>
      </c>
      <c r="AF131" s="1" t="s">
        <v>47</v>
      </c>
      <c r="AG131" s="1" t="s">
        <v>47</v>
      </c>
      <c r="AH131" s="1" t="s">
        <v>49</v>
      </c>
      <c r="AI131" s="1" t="s">
        <v>47</v>
      </c>
      <c r="AK131" s="1" t="s">
        <v>48</v>
      </c>
      <c r="AL131" s="1" t="s">
        <v>500</v>
      </c>
    </row>
    <row r="132" spans="1:38">
      <c r="A132" s="1">
        <v>5136749</v>
      </c>
      <c r="B132" s="1" t="s">
        <v>501</v>
      </c>
      <c r="C132" s="1" t="str">
        <f>"9781292025209"</f>
        <v>9781292025209</v>
      </c>
      <c r="D132" s="1" t="str">
        <f>"9781292037783"</f>
        <v>9781292037783</v>
      </c>
      <c r="E132" s="1" t="s">
        <v>52</v>
      </c>
      <c r="F132" s="1" t="s">
        <v>40</v>
      </c>
      <c r="G132" s="3">
        <v>41515</v>
      </c>
      <c r="H132" s="3">
        <v>1</v>
      </c>
      <c r="I132" s="1" t="s">
        <v>41</v>
      </c>
      <c r="J132" s="1">
        <v>12</v>
      </c>
      <c r="L132" s="1" t="s">
        <v>499</v>
      </c>
      <c r="Q132" s="1" t="s">
        <v>46</v>
      </c>
      <c r="R132" s="1" t="s">
        <v>47</v>
      </c>
      <c r="S132" s="1" t="s">
        <v>47</v>
      </c>
      <c r="T132" s="1" t="s">
        <v>48</v>
      </c>
      <c r="U132" s="1" t="s">
        <v>47</v>
      </c>
      <c r="V132" s="1" t="s">
        <v>47</v>
      </c>
      <c r="W132" s="1" t="s">
        <v>47</v>
      </c>
      <c r="Z132" s="1">
        <v>0</v>
      </c>
      <c r="AB132" s="1" t="s">
        <v>47</v>
      </c>
      <c r="AD132" s="1">
        <v>527239</v>
      </c>
      <c r="AF132" s="1" t="s">
        <v>47</v>
      </c>
      <c r="AG132" s="1" t="s">
        <v>47</v>
      </c>
      <c r="AH132" s="1" t="s">
        <v>49</v>
      </c>
      <c r="AI132" s="1" t="s">
        <v>47</v>
      </c>
      <c r="AK132" s="1" t="s">
        <v>48</v>
      </c>
      <c r="AL132" s="1" t="s">
        <v>502</v>
      </c>
    </row>
    <row r="133" spans="1:38">
      <c r="A133" s="1">
        <v>5136750</v>
      </c>
      <c r="B133" s="1" t="s">
        <v>503</v>
      </c>
      <c r="C133" s="1" t="str">
        <f>"9781408226056"</f>
        <v>9781408226056</v>
      </c>
      <c r="D133" s="1" t="str">
        <f>"9781408226070"</f>
        <v>9781408226070</v>
      </c>
      <c r="E133" s="1" t="s">
        <v>52</v>
      </c>
      <c r="F133" s="1" t="s">
        <v>365</v>
      </c>
      <c r="G133" s="3">
        <v>40807</v>
      </c>
      <c r="H133" s="3">
        <v>1</v>
      </c>
      <c r="I133" s="1" t="s">
        <v>41</v>
      </c>
      <c r="J133" s="1">
        <v>6</v>
      </c>
      <c r="L133" s="1" t="s">
        <v>504</v>
      </c>
      <c r="M133" s="1" t="s">
        <v>162</v>
      </c>
      <c r="N133" s="1" t="s">
        <v>505</v>
      </c>
      <c r="O133" s="1" t="s">
        <v>506</v>
      </c>
      <c r="Q133" s="1" t="s">
        <v>46</v>
      </c>
      <c r="R133" s="1" t="s">
        <v>47</v>
      </c>
      <c r="S133" s="1" t="s">
        <v>47</v>
      </c>
      <c r="T133" s="1" t="s">
        <v>48</v>
      </c>
      <c r="U133" s="1" t="s">
        <v>47</v>
      </c>
      <c r="V133" s="1" t="s">
        <v>47</v>
      </c>
      <c r="W133" s="1" t="s">
        <v>47</v>
      </c>
      <c r="Z133" s="1">
        <v>0</v>
      </c>
      <c r="AB133" s="1" t="s">
        <v>47</v>
      </c>
      <c r="AD133" s="1">
        <v>327571</v>
      </c>
      <c r="AF133" s="1" t="s">
        <v>47</v>
      </c>
      <c r="AG133" s="1" t="s">
        <v>47</v>
      </c>
      <c r="AH133" s="1" t="s">
        <v>49</v>
      </c>
      <c r="AI133" s="1" t="s">
        <v>47</v>
      </c>
      <c r="AK133" s="1" t="s">
        <v>48</v>
      </c>
      <c r="AL133" s="1" t="s">
        <v>507</v>
      </c>
    </row>
    <row r="134" spans="1:38">
      <c r="A134" s="1">
        <v>5136752</v>
      </c>
      <c r="B134" s="1" t="s">
        <v>508</v>
      </c>
      <c r="C134" s="1" t="str">
        <f>"9781292020402"</f>
        <v>9781292020402</v>
      </c>
      <c r="D134" s="1" t="str">
        <f>"9781292033723"</f>
        <v>9781292033723</v>
      </c>
      <c r="E134" s="1" t="s">
        <v>52</v>
      </c>
      <c r="F134" s="1" t="s">
        <v>40</v>
      </c>
      <c r="G134" s="3">
        <v>41513</v>
      </c>
      <c r="H134" s="3">
        <v>1</v>
      </c>
      <c r="I134" s="1" t="s">
        <v>41</v>
      </c>
      <c r="J134" s="1">
        <v>10</v>
      </c>
      <c r="L134" s="1" t="s">
        <v>509</v>
      </c>
      <c r="Q134" s="1" t="s">
        <v>46</v>
      </c>
      <c r="R134" s="1" t="s">
        <v>47</v>
      </c>
      <c r="S134" s="1" t="s">
        <v>47</v>
      </c>
      <c r="T134" s="1" t="s">
        <v>48</v>
      </c>
      <c r="U134" s="1" t="s">
        <v>47</v>
      </c>
      <c r="V134" s="1" t="s">
        <v>47</v>
      </c>
      <c r="W134" s="1" t="s">
        <v>47</v>
      </c>
      <c r="Z134" s="1">
        <v>0</v>
      </c>
      <c r="AB134" s="1" t="s">
        <v>47</v>
      </c>
      <c r="AD134" s="1">
        <v>527219</v>
      </c>
      <c r="AF134" s="1" t="s">
        <v>47</v>
      </c>
      <c r="AG134" s="1" t="s">
        <v>47</v>
      </c>
      <c r="AH134" s="1" t="s">
        <v>49</v>
      </c>
      <c r="AI134" s="1" t="s">
        <v>47</v>
      </c>
      <c r="AK134" s="1" t="s">
        <v>48</v>
      </c>
      <c r="AL134" s="1" t="s">
        <v>510</v>
      </c>
    </row>
    <row r="135" spans="1:38">
      <c r="A135" s="1">
        <v>5136754</v>
      </c>
      <c r="B135" s="1" t="s">
        <v>511</v>
      </c>
      <c r="C135" s="1" t="str">
        <f>"9780273783558"</f>
        <v>9780273783558</v>
      </c>
      <c r="D135" s="1" t="str">
        <f>"9780273783572"</f>
        <v>9780273783572</v>
      </c>
      <c r="E135" s="1" t="s">
        <v>52</v>
      </c>
      <c r="F135" s="1" t="s">
        <v>40</v>
      </c>
      <c r="G135" s="3">
        <v>41414</v>
      </c>
      <c r="H135" s="3">
        <v>1</v>
      </c>
      <c r="I135" s="1" t="s">
        <v>41</v>
      </c>
      <c r="J135" s="1">
        <v>2</v>
      </c>
      <c r="L135" s="1" t="s">
        <v>186</v>
      </c>
      <c r="Q135" s="1" t="s">
        <v>46</v>
      </c>
      <c r="R135" s="1" t="s">
        <v>47</v>
      </c>
      <c r="S135" s="1" t="s">
        <v>47</v>
      </c>
      <c r="T135" s="1" t="s">
        <v>48</v>
      </c>
      <c r="U135" s="1" t="s">
        <v>47</v>
      </c>
      <c r="V135" s="1" t="s">
        <v>47</v>
      </c>
      <c r="W135" s="1" t="s">
        <v>47</v>
      </c>
      <c r="Z135" s="1">
        <v>0</v>
      </c>
      <c r="AB135" s="1" t="s">
        <v>47</v>
      </c>
      <c r="AD135" s="1">
        <v>492446</v>
      </c>
      <c r="AF135" s="1" t="s">
        <v>47</v>
      </c>
      <c r="AG135" s="1" t="s">
        <v>47</v>
      </c>
      <c r="AH135" s="1" t="s">
        <v>49</v>
      </c>
      <c r="AI135" s="1" t="s">
        <v>47</v>
      </c>
      <c r="AK135" s="1" t="s">
        <v>48</v>
      </c>
      <c r="AL135" s="1" t="s">
        <v>512</v>
      </c>
    </row>
    <row r="136" spans="1:38">
      <c r="A136" s="1">
        <v>5136755</v>
      </c>
      <c r="B136" s="1" t="s">
        <v>513</v>
      </c>
      <c r="C136" s="1" t="str">
        <f>"9780273783510"</f>
        <v>9780273783510</v>
      </c>
      <c r="D136" s="1" t="str">
        <f>"9780273783541"</f>
        <v>9780273783541</v>
      </c>
      <c r="E136" s="1" t="s">
        <v>52</v>
      </c>
      <c r="F136" s="1" t="s">
        <v>40</v>
      </c>
      <c r="G136" s="3">
        <v>41436</v>
      </c>
      <c r="H136" s="3">
        <v>1</v>
      </c>
      <c r="I136" s="1" t="s">
        <v>41</v>
      </c>
      <c r="J136" s="1">
        <v>2</v>
      </c>
      <c r="L136" s="1" t="s">
        <v>186</v>
      </c>
      <c r="Q136" s="1" t="s">
        <v>46</v>
      </c>
      <c r="R136" s="1" t="s">
        <v>47</v>
      </c>
      <c r="S136" s="1" t="s">
        <v>47</v>
      </c>
      <c r="T136" s="1" t="s">
        <v>48</v>
      </c>
      <c r="U136" s="1" t="s">
        <v>47</v>
      </c>
      <c r="V136" s="1" t="s">
        <v>47</v>
      </c>
      <c r="W136" s="1" t="s">
        <v>47</v>
      </c>
      <c r="Z136" s="1">
        <v>0</v>
      </c>
      <c r="AB136" s="1" t="s">
        <v>47</v>
      </c>
      <c r="AD136" s="1">
        <v>497451</v>
      </c>
      <c r="AF136" s="1" t="s">
        <v>47</v>
      </c>
      <c r="AG136" s="1" t="s">
        <v>47</v>
      </c>
      <c r="AH136" s="1" t="s">
        <v>49</v>
      </c>
      <c r="AI136" s="1" t="s">
        <v>47</v>
      </c>
      <c r="AK136" s="1" t="s">
        <v>48</v>
      </c>
      <c r="AL136" s="1" t="s">
        <v>514</v>
      </c>
    </row>
    <row r="137" spans="1:38">
      <c r="A137" s="1">
        <v>5136759</v>
      </c>
      <c r="B137" s="1" t="s">
        <v>515</v>
      </c>
      <c r="C137" s="1" t="str">
        <f>"9781447923237"</f>
        <v>9781447923237</v>
      </c>
      <c r="D137" s="1" t="str">
        <f>"9781447923244"</f>
        <v>9781447923244</v>
      </c>
      <c r="E137" s="1" t="s">
        <v>52</v>
      </c>
      <c r="F137" s="1" t="s">
        <v>40</v>
      </c>
      <c r="G137" s="3">
        <v>41393</v>
      </c>
      <c r="H137" s="3">
        <v>1</v>
      </c>
      <c r="I137" s="1" t="s">
        <v>41</v>
      </c>
      <c r="J137" s="1">
        <v>11</v>
      </c>
      <c r="L137" s="1" t="s">
        <v>516</v>
      </c>
      <c r="Q137" s="1" t="s">
        <v>46</v>
      </c>
      <c r="R137" s="1" t="s">
        <v>47</v>
      </c>
      <c r="S137" s="1" t="s">
        <v>47</v>
      </c>
      <c r="T137" s="1" t="s">
        <v>48</v>
      </c>
      <c r="U137" s="1" t="s">
        <v>47</v>
      </c>
      <c r="V137" s="1" t="s">
        <v>47</v>
      </c>
      <c r="W137" s="1" t="s">
        <v>47</v>
      </c>
      <c r="Z137" s="1">
        <v>0</v>
      </c>
      <c r="AB137" s="1" t="s">
        <v>47</v>
      </c>
      <c r="AD137" s="1">
        <v>485126</v>
      </c>
      <c r="AF137" s="1" t="s">
        <v>47</v>
      </c>
      <c r="AG137" s="1" t="s">
        <v>47</v>
      </c>
      <c r="AH137" s="1" t="s">
        <v>49</v>
      </c>
      <c r="AI137" s="1" t="s">
        <v>47</v>
      </c>
      <c r="AK137" s="1" t="s">
        <v>48</v>
      </c>
      <c r="AL137" s="1" t="s">
        <v>517</v>
      </c>
    </row>
    <row r="138" spans="1:38">
      <c r="A138" s="1">
        <v>5136760</v>
      </c>
      <c r="B138" s="1" t="s">
        <v>518</v>
      </c>
      <c r="C138" s="1" t="str">
        <f>"9781292021461"</f>
        <v>9781292021461</v>
      </c>
      <c r="D138" s="1" t="str">
        <f>"9781292034690"</f>
        <v>9781292034690</v>
      </c>
      <c r="E138" s="1" t="s">
        <v>52</v>
      </c>
      <c r="F138" s="1" t="s">
        <v>40</v>
      </c>
      <c r="G138" s="3">
        <v>41513</v>
      </c>
      <c r="H138" s="3">
        <v>1</v>
      </c>
      <c r="I138" s="1" t="s">
        <v>41</v>
      </c>
      <c r="J138" s="1">
        <v>9</v>
      </c>
      <c r="L138" s="1" t="s">
        <v>519</v>
      </c>
      <c r="Q138" s="1" t="s">
        <v>46</v>
      </c>
      <c r="R138" s="1" t="s">
        <v>47</v>
      </c>
      <c r="S138" s="1" t="s">
        <v>47</v>
      </c>
      <c r="T138" s="1" t="s">
        <v>48</v>
      </c>
      <c r="U138" s="1" t="s">
        <v>47</v>
      </c>
      <c r="V138" s="1" t="s">
        <v>47</v>
      </c>
      <c r="W138" s="1" t="s">
        <v>47</v>
      </c>
      <c r="Z138" s="1">
        <v>0</v>
      </c>
      <c r="AB138" s="1" t="s">
        <v>47</v>
      </c>
      <c r="AD138" s="1">
        <v>527155</v>
      </c>
      <c r="AF138" s="1" t="s">
        <v>47</v>
      </c>
      <c r="AG138" s="1" t="s">
        <v>47</v>
      </c>
      <c r="AH138" s="1" t="s">
        <v>49</v>
      </c>
      <c r="AI138" s="1" t="s">
        <v>47</v>
      </c>
      <c r="AK138" s="1" t="s">
        <v>48</v>
      </c>
      <c r="AL138" s="1" t="s">
        <v>520</v>
      </c>
    </row>
    <row r="139" spans="1:38">
      <c r="A139" s="1">
        <v>5136762</v>
      </c>
      <c r="B139" s="1" t="s">
        <v>521</v>
      </c>
      <c r="C139" s="1" t="str">
        <f>"9781292022130"</f>
        <v>9781292022130</v>
      </c>
      <c r="D139" s="1" t="str">
        <f>"9781292035338"</f>
        <v>9781292035338</v>
      </c>
      <c r="E139" s="1" t="s">
        <v>52</v>
      </c>
      <c r="F139" s="1" t="s">
        <v>40</v>
      </c>
      <c r="G139" s="3">
        <v>41513</v>
      </c>
      <c r="H139" s="3">
        <v>1</v>
      </c>
      <c r="I139" s="1" t="s">
        <v>41</v>
      </c>
      <c r="J139" s="1">
        <v>11</v>
      </c>
      <c r="L139" s="1" t="s">
        <v>522</v>
      </c>
      <c r="Q139" s="1" t="s">
        <v>46</v>
      </c>
      <c r="R139" s="1" t="s">
        <v>47</v>
      </c>
      <c r="S139" s="1" t="s">
        <v>47</v>
      </c>
      <c r="T139" s="1" t="s">
        <v>48</v>
      </c>
      <c r="U139" s="1" t="s">
        <v>47</v>
      </c>
      <c r="V139" s="1" t="s">
        <v>47</v>
      </c>
      <c r="W139" s="1" t="s">
        <v>47</v>
      </c>
      <c r="Z139" s="1">
        <v>0</v>
      </c>
      <c r="AB139" s="1" t="s">
        <v>47</v>
      </c>
      <c r="AD139" s="1">
        <v>527012</v>
      </c>
      <c r="AF139" s="1" t="s">
        <v>47</v>
      </c>
      <c r="AG139" s="1" t="s">
        <v>47</v>
      </c>
      <c r="AH139" s="1" t="s">
        <v>49</v>
      </c>
      <c r="AI139" s="1" t="s">
        <v>47</v>
      </c>
      <c r="AK139" s="1" t="s">
        <v>48</v>
      </c>
      <c r="AL139" s="1" t="s">
        <v>523</v>
      </c>
    </row>
    <row r="140" spans="1:38">
      <c r="A140" s="1">
        <v>5136769</v>
      </c>
      <c r="B140" s="1" t="s">
        <v>524</v>
      </c>
      <c r="C140" s="1" t="str">
        <f>"9780273785781"</f>
        <v>9780273785781</v>
      </c>
      <c r="D140" s="1" t="str">
        <f>"9780273785835"</f>
        <v>9780273785835</v>
      </c>
      <c r="E140" s="1" t="s">
        <v>52</v>
      </c>
      <c r="F140" s="1" t="s">
        <v>40</v>
      </c>
      <c r="G140" s="3">
        <v>41365</v>
      </c>
      <c r="H140" s="3">
        <v>1</v>
      </c>
      <c r="I140" s="1" t="s">
        <v>41</v>
      </c>
      <c r="J140" s="1">
        <v>9</v>
      </c>
      <c r="L140" s="1" t="s">
        <v>525</v>
      </c>
      <c r="M140" s="1" t="s">
        <v>162</v>
      </c>
      <c r="O140" s="1">
        <v>346.42</v>
      </c>
      <c r="Q140" s="1" t="s">
        <v>46</v>
      </c>
      <c r="R140" s="1" t="s">
        <v>47</v>
      </c>
      <c r="S140" s="1" t="s">
        <v>47</v>
      </c>
      <c r="T140" s="1" t="s">
        <v>48</v>
      </c>
      <c r="U140" s="1" t="s">
        <v>47</v>
      </c>
      <c r="V140" s="1" t="s">
        <v>47</v>
      </c>
      <c r="W140" s="1" t="s">
        <v>47</v>
      </c>
      <c r="Z140" s="1">
        <v>0</v>
      </c>
      <c r="AB140" s="1" t="s">
        <v>47</v>
      </c>
      <c r="AD140" s="1">
        <v>485123</v>
      </c>
      <c r="AF140" s="1" t="s">
        <v>47</v>
      </c>
      <c r="AG140" s="1" t="s">
        <v>47</v>
      </c>
      <c r="AH140" s="1" t="s">
        <v>49</v>
      </c>
      <c r="AI140" s="1" t="s">
        <v>47</v>
      </c>
      <c r="AK140" s="1" t="s">
        <v>48</v>
      </c>
      <c r="AL140" s="1" t="s">
        <v>526</v>
      </c>
    </row>
    <row r="141" spans="1:38">
      <c r="A141" s="1">
        <v>5136770</v>
      </c>
      <c r="B141" s="1" t="s">
        <v>527</v>
      </c>
      <c r="C141" s="1" t="str">
        <f>"9780273784227"</f>
        <v>9780273784227</v>
      </c>
      <c r="D141" s="1" t="str">
        <f>"9780273784265"</f>
        <v>9780273784265</v>
      </c>
      <c r="E141" s="1" t="s">
        <v>52</v>
      </c>
      <c r="F141" s="1" t="s">
        <v>40</v>
      </c>
      <c r="G141" s="3">
        <v>41414</v>
      </c>
      <c r="H141" s="3">
        <v>1</v>
      </c>
      <c r="I141" s="1" t="s">
        <v>41</v>
      </c>
      <c r="J141" s="1">
        <v>9</v>
      </c>
      <c r="L141" s="1" t="s">
        <v>528</v>
      </c>
      <c r="Q141" s="1" t="s">
        <v>46</v>
      </c>
      <c r="R141" s="1" t="s">
        <v>47</v>
      </c>
      <c r="S141" s="1" t="s">
        <v>47</v>
      </c>
      <c r="T141" s="1" t="s">
        <v>48</v>
      </c>
      <c r="U141" s="1" t="s">
        <v>47</v>
      </c>
      <c r="V141" s="1" t="s">
        <v>47</v>
      </c>
      <c r="W141" s="1" t="s">
        <v>47</v>
      </c>
      <c r="Z141" s="1">
        <v>0</v>
      </c>
      <c r="AB141" s="1" t="s">
        <v>47</v>
      </c>
      <c r="AD141" s="1">
        <v>492440</v>
      </c>
      <c r="AF141" s="1" t="s">
        <v>47</v>
      </c>
      <c r="AG141" s="1" t="s">
        <v>47</v>
      </c>
      <c r="AH141" s="1" t="s">
        <v>49</v>
      </c>
      <c r="AI141" s="1" t="s">
        <v>47</v>
      </c>
      <c r="AK141" s="1" t="s">
        <v>48</v>
      </c>
      <c r="AL141" s="1" t="s">
        <v>529</v>
      </c>
    </row>
    <row r="142" spans="1:38">
      <c r="A142" s="1">
        <v>5136777</v>
      </c>
      <c r="B142" s="1" t="s">
        <v>530</v>
      </c>
      <c r="C142" s="1" t="str">
        <f>"9781292039732"</f>
        <v>9781292039732</v>
      </c>
      <c r="D142" s="1" t="str">
        <f>"9781292052861"</f>
        <v>9781292052861</v>
      </c>
      <c r="E142" s="1" t="s">
        <v>52</v>
      </c>
      <c r="F142" s="1" t="s">
        <v>40</v>
      </c>
      <c r="G142" s="3">
        <v>41550</v>
      </c>
      <c r="H142" s="3">
        <v>1</v>
      </c>
      <c r="I142" s="1" t="s">
        <v>41</v>
      </c>
      <c r="J142" s="1">
        <v>1</v>
      </c>
      <c r="L142" s="1" t="s">
        <v>531</v>
      </c>
      <c r="M142" s="1" t="s">
        <v>59</v>
      </c>
      <c r="O142" s="1">
        <v>658.40099999999995</v>
      </c>
      <c r="Q142" s="1" t="s">
        <v>46</v>
      </c>
      <c r="R142" s="1" t="s">
        <v>47</v>
      </c>
      <c r="S142" s="1" t="s">
        <v>47</v>
      </c>
      <c r="T142" s="1" t="s">
        <v>48</v>
      </c>
      <c r="U142" s="1" t="s">
        <v>47</v>
      </c>
      <c r="V142" s="1" t="s">
        <v>47</v>
      </c>
      <c r="W142" s="1" t="s">
        <v>47</v>
      </c>
      <c r="Z142" s="1">
        <v>0</v>
      </c>
      <c r="AB142" s="1" t="s">
        <v>47</v>
      </c>
      <c r="AD142" s="1">
        <v>543498</v>
      </c>
      <c r="AF142" s="1" t="s">
        <v>47</v>
      </c>
      <c r="AG142" s="1" t="s">
        <v>47</v>
      </c>
      <c r="AH142" s="1" t="s">
        <v>49</v>
      </c>
      <c r="AI142" s="1" t="s">
        <v>47</v>
      </c>
      <c r="AK142" s="1" t="s">
        <v>48</v>
      </c>
      <c r="AL142" s="1" t="s">
        <v>532</v>
      </c>
    </row>
    <row r="143" spans="1:38">
      <c r="A143" s="1">
        <v>5136780</v>
      </c>
      <c r="B143" s="1" t="s">
        <v>533</v>
      </c>
      <c r="C143" s="1" t="str">
        <f>"9781292040462"</f>
        <v>9781292040462</v>
      </c>
      <c r="D143" s="1" t="str">
        <f>"9781292052922"</f>
        <v>9781292052922</v>
      </c>
      <c r="E143" s="1" t="s">
        <v>52</v>
      </c>
      <c r="F143" s="1" t="s">
        <v>40</v>
      </c>
      <c r="G143" s="3">
        <v>41550</v>
      </c>
      <c r="H143" s="3">
        <v>1</v>
      </c>
      <c r="I143" s="1" t="s">
        <v>41</v>
      </c>
      <c r="J143" s="1">
        <v>2</v>
      </c>
      <c r="L143" s="1" t="s">
        <v>534</v>
      </c>
      <c r="Q143" s="1" t="s">
        <v>46</v>
      </c>
      <c r="R143" s="1" t="s">
        <v>47</v>
      </c>
      <c r="S143" s="1" t="s">
        <v>47</v>
      </c>
      <c r="T143" s="1" t="s">
        <v>48</v>
      </c>
      <c r="U143" s="1" t="s">
        <v>47</v>
      </c>
      <c r="V143" s="1" t="s">
        <v>47</v>
      </c>
      <c r="W143" s="1" t="s">
        <v>47</v>
      </c>
      <c r="Z143" s="1">
        <v>0</v>
      </c>
      <c r="AB143" s="1" t="s">
        <v>47</v>
      </c>
      <c r="AD143" s="1">
        <v>543420</v>
      </c>
      <c r="AF143" s="1" t="s">
        <v>47</v>
      </c>
      <c r="AG143" s="1" t="s">
        <v>47</v>
      </c>
      <c r="AH143" s="1" t="s">
        <v>49</v>
      </c>
      <c r="AI143" s="1" t="s">
        <v>47</v>
      </c>
      <c r="AK143" s="1" t="s">
        <v>48</v>
      </c>
      <c r="AL143" s="1" t="s">
        <v>535</v>
      </c>
    </row>
    <row r="144" spans="1:38">
      <c r="A144" s="1">
        <v>5136782</v>
      </c>
      <c r="B144" s="1" t="s">
        <v>536</v>
      </c>
      <c r="C144" s="1" t="str">
        <f>"9781292020976"</f>
        <v>9781292020976</v>
      </c>
      <c r="D144" s="1" t="str">
        <f>"9781292034225"</f>
        <v>9781292034225</v>
      </c>
      <c r="E144" s="1" t="s">
        <v>52</v>
      </c>
      <c r="F144" s="1" t="s">
        <v>40</v>
      </c>
      <c r="G144" s="3">
        <v>41513</v>
      </c>
      <c r="H144" s="3">
        <v>1</v>
      </c>
      <c r="I144" s="1" t="s">
        <v>41</v>
      </c>
      <c r="J144" s="1">
        <v>3</v>
      </c>
      <c r="L144" s="1" t="s">
        <v>537</v>
      </c>
      <c r="Q144" s="1" t="s">
        <v>46</v>
      </c>
      <c r="R144" s="1" t="s">
        <v>47</v>
      </c>
      <c r="S144" s="1" t="s">
        <v>47</v>
      </c>
      <c r="T144" s="1" t="s">
        <v>48</v>
      </c>
      <c r="U144" s="1" t="s">
        <v>47</v>
      </c>
      <c r="V144" s="1" t="s">
        <v>47</v>
      </c>
      <c r="W144" s="1" t="s">
        <v>47</v>
      </c>
      <c r="Z144" s="1">
        <v>0</v>
      </c>
      <c r="AB144" s="1" t="s">
        <v>47</v>
      </c>
      <c r="AD144" s="1">
        <v>526965</v>
      </c>
      <c r="AF144" s="1" t="s">
        <v>47</v>
      </c>
      <c r="AG144" s="1" t="s">
        <v>47</v>
      </c>
      <c r="AH144" s="1" t="s">
        <v>49</v>
      </c>
      <c r="AI144" s="1" t="s">
        <v>47</v>
      </c>
      <c r="AK144" s="1" t="s">
        <v>48</v>
      </c>
      <c r="AL144" s="1" t="s">
        <v>538</v>
      </c>
    </row>
    <row r="145" spans="1:38">
      <c r="A145" s="1">
        <v>5136789</v>
      </c>
      <c r="B145" s="1" t="s">
        <v>539</v>
      </c>
      <c r="C145" s="1" t="str">
        <f>"9781292025629"</f>
        <v>9781292025629</v>
      </c>
      <c r="D145" s="1" t="str">
        <f>"9781292038056"</f>
        <v>9781292038056</v>
      </c>
      <c r="E145" s="1" t="s">
        <v>52</v>
      </c>
      <c r="F145" s="1" t="s">
        <v>40</v>
      </c>
      <c r="G145" s="3">
        <v>41515</v>
      </c>
      <c r="H145" s="3">
        <v>1</v>
      </c>
      <c r="I145" s="1" t="s">
        <v>41</v>
      </c>
      <c r="J145" s="1">
        <v>10</v>
      </c>
      <c r="L145" s="1" t="s">
        <v>540</v>
      </c>
      <c r="Q145" s="1" t="s">
        <v>46</v>
      </c>
      <c r="R145" s="1" t="s">
        <v>47</v>
      </c>
      <c r="S145" s="1" t="s">
        <v>47</v>
      </c>
      <c r="T145" s="1" t="s">
        <v>48</v>
      </c>
      <c r="U145" s="1" t="s">
        <v>47</v>
      </c>
      <c r="V145" s="1" t="s">
        <v>47</v>
      </c>
      <c r="W145" s="1" t="s">
        <v>47</v>
      </c>
      <c r="Z145" s="1">
        <v>0</v>
      </c>
      <c r="AB145" s="1" t="s">
        <v>47</v>
      </c>
      <c r="AD145" s="1">
        <v>527061</v>
      </c>
      <c r="AF145" s="1" t="s">
        <v>47</v>
      </c>
      <c r="AG145" s="1" t="s">
        <v>47</v>
      </c>
      <c r="AH145" s="1" t="s">
        <v>49</v>
      </c>
      <c r="AI145" s="1" t="s">
        <v>47</v>
      </c>
      <c r="AK145" s="1" t="s">
        <v>48</v>
      </c>
      <c r="AL145" s="1" t="s">
        <v>541</v>
      </c>
    </row>
    <row r="146" spans="1:38">
      <c r="A146" s="1">
        <v>5136791</v>
      </c>
      <c r="B146" s="1" t="s">
        <v>542</v>
      </c>
      <c r="C146" s="1" t="str">
        <f>"9780273740988"</f>
        <v>9780273740988</v>
      </c>
      <c r="D146" s="1" t="str">
        <f>"9780273740995"</f>
        <v>9780273740995</v>
      </c>
      <c r="E146" s="1" t="s">
        <v>52</v>
      </c>
      <c r="F146" s="1" t="s">
        <v>67</v>
      </c>
      <c r="G146" s="3">
        <v>41312</v>
      </c>
      <c r="H146" s="3">
        <v>1</v>
      </c>
      <c r="I146" s="1" t="s">
        <v>41</v>
      </c>
      <c r="J146" s="1">
        <v>6</v>
      </c>
      <c r="L146" s="1" t="s">
        <v>543</v>
      </c>
      <c r="M146" s="1" t="s">
        <v>59</v>
      </c>
      <c r="N146" s="1" t="s">
        <v>544</v>
      </c>
      <c r="O146" s="1">
        <v>658.3</v>
      </c>
      <c r="Q146" s="1" t="s">
        <v>46</v>
      </c>
      <c r="R146" s="1" t="s">
        <v>47</v>
      </c>
      <c r="S146" s="1" t="s">
        <v>47</v>
      </c>
      <c r="T146" s="1" t="s">
        <v>48</v>
      </c>
      <c r="U146" s="1" t="s">
        <v>47</v>
      </c>
      <c r="V146" s="1" t="s">
        <v>47</v>
      </c>
      <c r="W146" s="1" t="s">
        <v>47</v>
      </c>
      <c r="Z146" s="1">
        <v>0</v>
      </c>
      <c r="AB146" s="1" t="s">
        <v>47</v>
      </c>
      <c r="AD146" s="1">
        <v>462967</v>
      </c>
      <c r="AF146" s="1" t="s">
        <v>47</v>
      </c>
      <c r="AG146" s="1" t="s">
        <v>47</v>
      </c>
      <c r="AH146" s="1" t="s">
        <v>49</v>
      </c>
      <c r="AI146" s="1" t="s">
        <v>47</v>
      </c>
      <c r="AK146" s="1" t="s">
        <v>48</v>
      </c>
      <c r="AL146" s="1" t="s">
        <v>545</v>
      </c>
    </row>
    <row r="147" spans="1:38">
      <c r="A147" s="1">
        <v>5136795</v>
      </c>
      <c r="B147" s="1" t="s">
        <v>546</v>
      </c>
      <c r="C147" s="1" t="str">
        <f>"9781292025346"</f>
        <v>9781292025346</v>
      </c>
      <c r="D147" s="1" t="str">
        <f>"9781292037905"</f>
        <v>9781292037905</v>
      </c>
      <c r="E147" s="1" t="s">
        <v>52</v>
      </c>
      <c r="F147" s="1" t="s">
        <v>40</v>
      </c>
      <c r="G147" s="3">
        <v>41515</v>
      </c>
      <c r="H147" s="3">
        <v>1</v>
      </c>
      <c r="I147" s="1" t="s">
        <v>41</v>
      </c>
      <c r="J147" s="1">
        <v>12</v>
      </c>
      <c r="L147" s="1" t="s">
        <v>547</v>
      </c>
      <c r="Q147" s="1" t="s">
        <v>46</v>
      </c>
      <c r="R147" s="1" t="s">
        <v>47</v>
      </c>
      <c r="S147" s="1" t="s">
        <v>47</v>
      </c>
      <c r="T147" s="1" t="s">
        <v>48</v>
      </c>
      <c r="U147" s="1" t="s">
        <v>47</v>
      </c>
      <c r="V147" s="1" t="s">
        <v>47</v>
      </c>
      <c r="W147" s="1" t="s">
        <v>47</v>
      </c>
      <c r="Z147" s="1">
        <v>0</v>
      </c>
      <c r="AB147" s="1" t="s">
        <v>47</v>
      </c>
      <c r="AD147" s="1">
        <v>527117</v>
      </c>
      <c r="AF147" s="1" t="s">
        <v>47</v>
      </c>
      <c r="AG147" s="1" t="s">
        <v>47</v>
      </c>
      <c r="AH147" s="1" t="s">
        <v>49</v>
      </c>
      <c r="AI147" s="1" t="s">
        <v>47</v>
      </c>
      <c r="AK147" s="1" t="s">
        <v>48</v>
      </c>
      <c r="AL147" s="1" t="s">
        <v>548</v>
      </c>
    </row>
    <row r="148" spans="1:38">
      <c r="A148" s="1">
        <v>5136796</v>
      </c>
      <c r="B148" s="1" t="s">
        <v>549</v>
      </c>
      <c r="C148" s="1" t="str">
        <f>"9781292023328"</f>
        <v>9781292023328</v>
      </c>
      <c r="D148" s="1" t="str">
        <f>"9781292036496"</f>
        <v>9781292036496</v>
      </c>
      <c r="E148" s="1" t="s">
        <v>52</v>
      </c>
      <c r="F148" s="1" t="s">
        <v>40</v>
      </c>
      <c r="G148" s="3">
        <v>41514</v>
      </c>
      <c r="H148" s="3">
        <v>1</v>
      </c>
      <c r="I148" s="1" t="s">
        <v>41</v>
      </c>
      <c r="J148" s="1">
        <v>4</v>
      </c>
      <c r="L148" s="1" t="s">
        <v>550</v>
      </c>
      <c r="Q148" s="1" t="s">
        <v>46</v>
      </c>
      <c r="R148" s="1" t="s">
        <v>47</v>
      </c>
      <c r="S148" s="1" t="s">
        <v>47</v>
      </c>
      <c r="T148" s="1" t="s">
        <v>48</v>
      </c>
      <c r="U148" s="1" t="s">
        <v>47</v>
      </c>
      <c r="V148" s="1" t="s">
        <v>47</v>
      </c>
      <c r="W148" s="1" t="s">
        <v>47</v>
      </c>
      <c r="Z148" s="1">
        <v>0</v>
      </c>
      <c r="AB148" s="1" t="s">
        <v>47</v>
      </c>
      <c r="AD148" s="1">
        <v>527242</v>
      </c>
      <c r="AF148" s="1" t="s">
        <v>47</v>
      </c>
      <c r="AG148" s="1" t="s">
        <v>47</v>
      </c>
      <c r="AH148" s="1" t="s">
        <v>49</v>
      </c>
      <c r="AI148" s="1" t="s">
        <v>47</v>
      </c>
      <c r="AK148" s="1" t="s">
        <v>48</v>
      </c>
      <c r="AL148" s="1" t="s">
        <v>551</v>
      </c>
    </row>
    <row r="149" spans="1:38">
      <c r="A149" s="1">
        <v>5136798</v>
      </c>
      <c r="B149" s="1" t="s">
        <v>552</v>
      </c>
      <c r="C149" s="1" t="str">
        <f>"9780273759836"</f>
        <v>9780273759836</v>
      </c>
      <c r="D149" s="1" t="str">
        <f>"9780273785200"</f>
        <v>9780273785200</v>
      </c>
      <c r="E149" s="1" t="s">
        <v>52</v>
      </c>
      <c r="F149" s="1" t="s">
        <v>365</v>
      </c>
      <c r="G149" s="3">
        <v>41584</v>
      </c>
      <c r="H149" s="3">
        <v>1</v>
      </c>
      <c r="I149" s="1" t="s">
        <v>41</v>
      </c>
      <c r="J149" s="1">
        <v>7</v>
      </c>
      <c r="L149" s="1" t="s">
        <v>553</v>
      </c>
      <c r="Q149" s="1" t="s">
        <v>46</v>
      </c>
      <c r="R149" s="1" t="s">
        <v>47</v>
      </c>
      <c r="S149" s="1" t="s">
        <v>47</v>
      </c>
      <c r="T149" s="1" t="s">
        <v>48</v>
      </c>
      <c r="U149" s="1" t="s">
        <v>47</v>
      </c>
      <c r="V149" s="1" t="s">
        <v>47</v>
      </c>
      <c r="W149" s="1" t="s">
        <v>47</v>
      </c>
      <c r="Z149" s="1">
        <v>0</v>
      </c>
      <c r="AB149" s="1" t="s">
        <v>47</v>
      </c>
      <c r="AD149" s="1">
        <v>523719</v>
      </c>
      <c r="AF149" s="1" t="s">
        <v>47</v>
      </c>
      <c r="AG149" s="1" t="s">
        <v>47</v>
      </c>
      <c r="AH149" s="1" t="s">
        <v>49</v>
      </c>
      <c r="AI149" s="1" t="s">
        <v>47</v>
      </c>
      <c r="AK149" s="1" t="s">
        <v>48</v>
      </c>
      <c r="AL149" s="1" t="s">
        <v>554</v>
      </c>
    </row>
    <row r="150" spans="1:38">
      <c r="A150" s="1">
        <v>5136799</v>
      </c>
      <c r="B150" s="1" t="s">
        <v>555</v>
      </c>
      <c r="C150" s="1" t="str">
        <f>"9781292025919"</f>
        <v>9781292025919</v>
      </c>
      <c r="D150" s="1" t="str">
        <f>"9781292038339"</f>
        <v>9781292038339</v>
      </c>
      <c r="E150" s="1" t="s">
        <v>52</v>
      </c>
      <c r="F150" s="1" t="s">
        <v>40</v>
      </c>
      <c r="G150" s="3">
        <v>41485</v>
      </c>
      <c r="H150" s="3">
        <v>1</v>
      </c>
      <c r="I150" s="1" t="s">
        <v>41</v>
      </c>
      <c r="J150" s="1">
        <v>2</v>
      </c>
      <c r="L150" s="1" t="s">
        <v>553</v>
      </c>
      <c r="M150" s="1" t="s">
        <v>556</v>
      </c>
      <c r="O150" s="1">
        <v>6.76</v>
      </c>
      <c r="Q150" s="1" t="s">
        <v>46</v>
      </c>
      <c r="R150" s="1" t="s">
        <v>47</v>
      </c>
      <c r="S150" s="1" t="s">
        <v>47</v>
      </c>
      <c r="T150" s="1" t="s">
        <v>48</v>
      </c>
      <c r="U150" s="1" t="s">
        <v>47</v>
      </c>
      <c r="V150" s="1" t="s">
        <v>47</v>
      </c>
      <c r="W150" s="1" t="s">
        <v>47</v>
      </c>
      <c r="Z150" s="1">
        <v>0</v>
      </c>
      <c r="AB150" s="1" t="s">
        <v>47</v>
      </c>
      <c r="AD150" s="1">
        <v>527302</v>
      </c>
      <c r="AF150" s="1" t="s">
        <v>47</v>
      </c>
      <c r="AG150" s="1" t="s">
        <v>47</v>
      </c>
      <c r="AH150" s="1" t="s">
        <v>49</v>
      </c>
      <c r="AI150" s="1" t="s">
        <v>47</v>
      </c>
      <c r="AK150" s="1" t="s">
        <v>48</v>
      </c>
      <c r="AL150" s="1" t="s">
        <v>557</v>
      </c>
    </row>
    <row r="151" spans="1:38">
      <c r="A151" s="1">
        <v>5136800</v>
      </c>
      <c r="B151" s="1" t="s">
        <v>558</v>
      </c>
      <c r="C151" s="1" t="str">
        <f>"9781292025964"</f>
        <v>9781292025964</v>
      </c>
      <c r="D151" s="1" t="str">
        <f>"9781292038384"</f>
        <v>9781292038384</v>
      </c>
      <c r="E151" s="1" t="s">
        <v>52</v>
      </c>
      <c r="F151" s="1" t="s">
        <v>40</v>
      </c>
      <c r="G151" s="3">
        <v>41515</v>
      </c>
      <c r="H151" s="3">
        <v>1</v>
      </c>
      <c r="I151" s="1" t="s">
        <v>41</v>
      </c>
      <c r="J151" s="1">
        <v>2</v>
      </c>
      <c r="L151" s="1" t="s">
        <v>553</v>
      </c>
      <c r="Q151" s="1" t="s">
        <v>46</v>
      </c>
      <c r="R151" s="1" t="s">
        <v>47</v>
      </c>
      <c r="S151" s="1" t="s">
        <v>47</v>
      </c>
      <c r="T151" s="1" t="s">
        <v>48</v>
      </c>
      <c r="U151" s="1" t="s">
        <v>47</v>
      </c>
      <c r="V151" s="1" t="s">
        <v>47</v>
      </c>
      <c r="W151" s="1" t="s">
        <v>47</v>
      </c>
      <c r="Z151" s="1">
        <v>0</v>
      </c>
      <c r="AB151" s="1" t="s">
        <v>47</v>
      </c>
      <c r="AD151" s="1">
        <v>527355</v>
      </c>
      <c r="AF151" s="1" t="s">
        <v>47</v>
      </c>
      <c r="AG151" s="1" t="s">
        <v>47</v>
      </c>
      <c r="AH151" s="1" t="s">
        <v>49</v>
      </c>
      <c r="AI151" s="1" t="s">
        <v>47</v>
      </c>
      <c r="AK151" s="1" t="s">
        <v>48</v>
      </c>
      <c r="AL151" s="1" t="s">
        <v>559</v>
      </c>
    </row>
    <row r="152" spans="1:38">
      <c r="A152" s="1">
        <v>5136803</v>
      </c>
      <c r="B152" s="1" t="s">
        <v>560</v>
      </c>
      <c r="C152" s="1" t="str">
        <f>"9781292025223"</f>
        <v>9781292025223</v>
      </c>
      <c r="D152" s="1" t="str">
        <f>"9781292037790"</f>
        <v>9781292037790</v>
      </c>
      <c r="E152" s="1" t="s">
        <v>52</v>
      </c>
      <c r="F152" s="1" t="s">
        <v>40</v>
      </c>
      <c r="G152" s="3">
        <v>41515</v>
      </c>
      <c r="H152" s="3">
        <v>1</v>
      </c>
      <c r="I152" s="1" t="s">
        <v>41</v>
      </c>
      <c r="J152" s="1">
        <v>5</v>
      </c>
      <c r="L152" s="1" t="s">
        <v>561</v>
      </c>
      <c r="Q152" s="1" t="s">
        <v>46</v>
      </c>
      <c r="R152" s="1" t="s">
        <v>47</v>
      </c>
      <c r="S152" s="1" t="s">
        <v>47</v>
      </c>
      <c r="T152" s="1" t="s">
        <v>48</v>
      </c>
      <c r="U152" s="1" t="s">
        <v>47</v>
      </c>
      <c r="V152" s="1" t="s">
        <v>47</v>
      </c>
      <c r="W152" s="1" t="s">
        <v>47</v>
      </c>
      <c r="Z152" s="1">
        <v>0</v>
      </c>
      <c r="AB152" s="1" t="s">
        <v>47</v>
      </c>
      <c r="AD152" s="1">
        <v>527344</v>
      </c>
      <c r="AF152" s="1" t="s">
        <v>47</v>
      </c>
      <c r="AG152" s="1" t="s">
        <v>47</v>
      </c>
      <c r="AH152" s="1" t="s">
        <v>49</v>
      </c>
      <c r="AI152" s="1" t="s">
        <v>47</v>
      </c>
      <c r="AK152" s="1" t="s">
        <v>48</v>
      </c>
      <c r="AL152" s="1" t="s">
        <v>562</v>
      </c>
    </row>
    <row r="153" spans="1:38">
      <c r="A153" s="1">
        <v>5136804</v>
      </c>
      <c r="B153" s="1" t="s">
        <v>563</v>
      </c>
      <c r="C153" s="1" t="str">
        <f>"9781292041698"</f>
        <v>9781292041698</v>
      </c>
      <c r="D153" s="1" t="str">
        <f>"9781292053158"</f>
        <v>9781292053158</v>
      </c>
      <c r="E153" s="1" t="s">
        <v>52</v>
      </c>
      <c r="F153" s="1" t="s">
        <v>40</v>
      </c>
      <c r="G153" s="3">
        <v>41550</v>
      </c>
      <c r="H153" s="3">
        <v>1</v>
      </c>
      <c r="I153" s="1" t="s">
        <v>41</v>
      </c>
      <c r="J153" s="1">
        <v>10</v>
      </c>
      <c r="L153" s="1" t="s">
        <v>564</v>
      </c>
      <c r="Q153" s="1" t="s">
        <v>46</v>
      </c>
      <c r="R153" s="1" t="s">
        <v>47</v>
      </c>
      <c r="S153" s="1" t="s">
        <v>47</v>
      </c>
      <c r="T153" s="1" t="s">
        <v>48</v>
      </c>
      <c r="U153" s="1" t="s">
        <v>47</v>
      </c>
      <c r="V153" s="1" t="s">
        <v>47</v>
      </c>
      <c r="W153" s="1" t="s">
        <v>47</v>
      </c>
      <c r="Z153" s="1">
        <v>0</v>
      </c>
      <c r="AB153" s="1" t="s">
        <v>47</v>
      </c>
      <c r="AD153" s="1">
        <v>543421</v>
      </c>
      <c r="AF153" s="1" t="s">
        <v>47</v>
      </c>
      <c r="AG153" s="1" t="s">
        <v>47</v>
      </c>
      <c r="AH153" s="1" t="s">
        <v>49</v>
      </c>
      <c r="AI153" s="1" t="s">
        <v>47</v>
      </c>
      <c r="AK153" s="1" t="s">
        <v>48</v>
      </c>
      <c r="AL153" s="1" t="s">
        <v>565</v>
      </c>
    </row>
    <row r="154" spans="1:38">
      <c r="A154" s="1">
        <v>5136806</v>
      </c>
      <c r="B154" s="1" t="s">
        <v>566</v>
      </c>
      <c r="C154" s="1" t="str">
        <f>"9780273783596"</f>
        <v>9780273783596</v>
      </c>
      <c r="D154" s="1" t="str">
        <f>"9780273783626"</f>
        <v>9780273783626</v>
      </c>
      <c r="E154" s="1" t="s">
        <v>52</v>
      </c>
      <c r="F154" s="1" t="s">
        <v>40</v>
      </c>
      <c r="G154" s="3">
        <v>41393</v>
      </c>
      <c r="H154" s="3">
        <v>1</v>
      </c>
      <c r="I154" s="1" t="s">
        <v>41</v>
      </c>
      <c r="J154" s="1">
        <v>2</v>
      </c>
      <c r="L154" s="1" t="s">
        <v>567</v>
      </c>
      <c r="Q154" s="1" t="s">
        <v>46</v>
      </c>
      <c r="R154" s="1" t="s">
        <v>47</v>
      </c>
      <c r="S154" s="1" t="s">
        <v>47</v>
      </c>
      <c r="T154" s="1" t="s">
        <v>48</v>
      </c>
      <c r="U154" s="1" t="s">
        <v>47</v>
      </c>
      <c r="V154" s="1" t="s">
        <v>47</v>
      </c>
      <c r="W154" s="1" t="s">
        <v>47</v>
      </c>
      <c r="Z154" s="1">
        <v>0</v>
      </c>
      <c r="AB154" s="1" t="s">
        <v>47</v>
      </c>
      <c r="AD154" s="1">
        <v>485128</v>
      </c>
      <c r="AF154" s="1" t="s">
        <v>47</v>
      </c>
      <c r="AG154" s="1" t="s">
        <v>47</v>
      </c>
      <c r="AH154" s="1" t="s">
        <v>49</v>
      </c>
      <c r="AI154" s="1" t="s">
        <v>47</v>
      </c>
      <c r="AK154" s="1" t="s">
        <v>48</v>
      </c>
      <c r="AL154" s="1" t="s">
        <v>568</v>
      </c>
    </row>
    <row r="155" spans="1:38">
      <c r="A155" s="1">
        <v>5136807</v>
      </c>
      <c r="B155" s="1" t="s">
        <v>569</v>
      </c>
      <c r="C155" s="1" t="str">
        <f>"9781292026022"</f>
        <v>9781292026022</v>
      </c>
      <c r="D155" s="1" t="str">
        <f>"9781292038438"</f>
        <v>9781292038438</v>
      </c>
      <c r="E155" s="1" t="s">
        <v>52</v>
      </c>
      <c r="F155" s="1" t="s">
        <v>40</v>
      </c>
      <c r="G155" s="3">
        <v>41480</v>
      </c>
      <c r="H155" s="3">
        <v>1</v>
      </c>
      <c r="I155" s="1" t="s">
        <v>41</v>
      </c>
      <c r="J155" s="1">
        <v>4</v>
      </c>
      <c r="L155" s="1" t="s">
        <v>570</v>
      </c>
      <c r="M155" s="1" t="s">
        <v>207</v>
      </c>
      <c r="O155" s="1">
        <v>660.28420000000006</v>
      </c>
      <c r="Q155" s="1" t="s">
        <v>46</v>
      </c>
      <c r="R155" s="1" t="s">
        <v>47</v>
      </c>
      <c r="S155" s="1" t="s">
        <v>47</v>
      </c>
      <c r="T155" s="1" t="s">
        <v>48</v>
      </c>
      <c r="U155" s="1" t="s">
        <v>47</v>
      </c>
      <c r="V155" s="1" t="s">
        <v>47</v>
      </c>
      <c r="W155" s="1" t="s">
        <v>47</v>
      </c>
      <c r="Z155" s="1">
        <v>0</v>
      </c>
      <c r="AB155" s="1" t="s">
        <v>47</v>
      </c>
      <c r="AD155" s="1">
        <v>527416</v>
      </c>
      <c r="AF155" s="1" t="s">
        <v>47</v>
      </c>
      <c r="AG155" s="1" t="s">
        <v>47</v>
      </c>
      <c r="AH155" s="1" t="s">
        <v>49</v>
      </c>
      <c r="AI155" s="1" t="s">
        <v>47</v>
      </c>
      <c r="AK155" s="1" t="s">
        <v>48</v>
      </c>
      <c r="AL155" s="1" t="s">
        <v>571</v>
      </c>
    </row>
    <row r="156" spans="1:38">
      <c r="A156" s="1">
        <v>5136809</v>
      </c>
      <c r="B156" s="1" t="s">
        <v>572</v>
      </c>
      <c r="C156" s="1" t="str">
        <f>"9780132052597"</f>
        <v>9780132052597</v>
      </c>
      <c r="D156" s="1" t="str">
        <f>"9780273731344"</f>
        <v>9780273731344</v>
      </c>
      <c r="E156" s="1" t="s">
        <v>52</v>
      </c>
      <c r="F156" s="1" t="s">
        <v>157</v>
      </c>
      <c r="G156" s="3">
        <v>41124</v>
      </c>
      <c r="H156" s="3">
        <v>1</v>
      </c>
      <c r="I156" s="1" t="s">
        <v>41</v>
      </c>
      <c r="J156" s="1">
        <v>1</v>
      </c>
      <c r="L156" s="1" t="s">
        <v>573</v>
      </c>
      <c r="M156" s="1" t="s">
        <v>574</v>
      </c>
      <c r="N156" s="1" t="s">
        <v>575</v>
      </c>
      <c r="O156" s="1">
        <v>658</v>
      </c>
      <c r="Q156" s="1" t="s">
        <v>46</v>
      </c>
      <c r="R156" s="1" t="s">
        <v>47</v>
      </c>
      <c r="S156" s="1" t="s">
        <v>47</v>
      </c>
      <c r="T156" s="1" t="s">
        <v>48</v>
      </c>
      <c r="U156" s="1" t="s">
        <v>47</v>
      </c>
      <c r="V156" s="1" t="s">
        <v>47</v>
      </c>
      <c r="W156" s="1" t="s">
        <v>47</v>
      </c>
      <c r="Z156" s="1">
        <v>0</v>
      </c>
      <c r="AB156" s="1" t="s">
        <v>47</v>
      </c>
      <c r="AD156" s="1">
        <v>327535</v>
      </c>
      <c r="AF156" s="1" t="s">
        <v>47</v>
      </c>
      <c r="AG156" s="1" t="s">
        <v>47</v>
      </c>
      <c r="AH156" s="1" t="s">
        <v>49</v>
      </c>
      <c r="AI156" s="1" t="s">
        <v>47</v>
      </c>
      <c r="AK156" s="1" t="s">
        <v>48</v>
      </c>
      <c r="AL156" s="1" t="s">
        <v>576</v>
      </c>
    </row>
    <row r="157" spans="1:38">
      <c r="A157" s="1">
        <v>5136811</v>
      </c>
      <c r="B157" s="1" t="s">
        <v>577</v>
      </c>
      <c r="C157" s="1" t="str">
        <f>"9780273754282"</f>
        <v>9780273754282</v>
      </c>
      <c r="D157" s="1" t="str">
        <f>"9781447930334"</f>
        <v>9781447930334</v>
      </c>
      <c r="E157" s="1" t="s">
        <v>52</v>
      </c>
      <c r="F157" s="1" t="s">
        <v>365</v>
      </c>
      <c r="G157" s="3">
        <v>41339</v>
      </c>
      <c r="H157" s="3">
        <v>1</v>
      </c>
      <c r="I157" s="1" t="s">
        <v>41</v>
      </c>
      <c r="J157" s="1">
        <v>13</v>
      </c>
      <c r="L157" s="1" t="s">
        <v>578</v>
      </c>
      <c r="Q157" s="1" t="s">
        <v>46</v>
      </c>
      <c r="R157" s="1" t="s">
        <v>47</v>
      </c>
      <c r="S157" s="1" t="s">
        <v>47</v>
      </c>
      <c r="T157" s="1" t="s">
        <v>48</v>
      </c>
      <c r="U157" s="1" t="s">
        <v>47</v>
      </c>
      <c r="V157" s="1" t="s">
        <v>47</v>
      </c>
      <c r="W157" s="1" t="s">
        <v>47</v>
      </c>
      <c r="Z157" s="1">
        <v>0</v>
      </c>
      <c r="AB157" s="1" t="s">
        <v>47</v>
      </c>
      <c r="AD157" s="1">
        <v>463068</v>
      </c>
      <c r="AF157" s="1" t="s">
        <v>47</v>
      </c>
      <c r="AG157" s="1" t="s">
        <v>47</v>
      </c>
      <c r="AH157" s="1" t="s">
        <v>49</v>
      </c>
      <c r="AI157" s="1" t="s">
        <v>47</v>
      </c>
      <c r="AK157" s="1" t="s">
        <v>48</v>
      </c>
      <c r="AL157" s="1" t="s">
        <v>579</v>
      </c>
    </row>
    <row r="158" spans="1:38">
      <c r="A158" s="1">
        <v>5136813</v>
      </c>
      <c r="B158" s="1" t="s">
        <v>580</v>
      </c>
      <c r="C158" s="1" t="str">
        <f>"9781292022208"</f>
        <v>9781292022208</v>
      </c>
      <c r="D158" s="1" t="str">
        <f>"9781292035406"</f>
        <v>9781292035406</v>
      </c>
      <c r="E158" s="1" t="s">
        <v>52</v>
      </c>
      <c r="F158" s="1" t="s">
        <v>40</v>
      </c>
      <c r="G158" s="3">
        <v>41579</v>
      </c>
      <c r="H158" s="3">
        <v>1</v>
      </c>
      <c r="I158" s="1" t="s">
        <v>41</v>
      </c>
      <c r="J158" s="1">
        <v>7</v>
      </c>
      <c r="L158" s="1" t="s">
        <v>581</v>
      </c>
      <c r="Q158" s="1" t="s">
        <v>46</v>
      </c>
      <c r="R158" s="1" t="s">
        <v>47</v>
      </c>
      <c r="S158" s="1" t="s">
        <v>47</v>
      </c>
      <c r="T158" s="1" t="s">
        <v>48</v>
      </c>
      <c r="U158" s="1" t="s">
        <v>47</v>
      </c>
      <c r="V158" s="1" t="s">
        <v>47</v>
      </c>
      <c r="W158" s="1" t="s">
        <v>47</v>
      </c>
      <c r="Z158" s="1">
        <v>0</v>
      </c>
      <c r="AB158" s="1" t="s">
        <v>47</v>
      </c>
      <c r="AD158" s="1">
        <v>526986</v>
      </c>
      <c r="AF158" s="1" t="s">
        <v>47</v>
      </c>
      <c r="AG158" s="1" t="s">
        <v>47</v>
      </c>
      <c r="AH158" s="1" t="s">
        <v>49</v>
      </c>
      <c r="AI158" s="1" t="s">
        <v>47</v>
      </c>
      <c r="AK158" s="1" t="s">
        <v>48</v>
      </c>
      <c r="AL158" s="1" t="s">
        <v>582</v>
      </c>
    </row>
    <row r="159" spans="1:38">
      <c r="A159" s="1">
        <v>5136814</v>
      </c>
      <c r="B159" s="1" t="s">
        <v>583</v>
      </c>
      <c r="C159" s="1" t="str">
        <f>"9781292027982"</f>
        <v>9781292027982</v>
      </c>
      <c r="D159" s="1" t="str">
        <f>"9781292053318"</f>
        <v>9781292053318</v>
      </c>
      <c r="E159" s="1" t="s">
        <v>52</v>
      </c>
      <c r="F159" s="1" t="s">
        <v>40</v>
      </c>
      <c r="G159" s="3">
        <v>40157</v>
      </c>
      <c r="H159" s="3">
        <v>1</v>
      </c>
      <c r="I159" s="1" t="s">
        <v>41</v>
      </c>
      <c r="J159" s="1">
        <v>2</v>
      </c>
      <c r="L159" s="1" t="s">
        <v>584</v>
      </c>
      <c r="M159" s="1" t="s">
        <v>100</v>
      </c>
      <c r="O159" s="1">
        <v>155</v>
      </c>
      <c r="Q159" s="1" t="s">
        <v>46</v>
      </c>
      <c r="R159" s="1" t="s">
        <v>47</v>
      </c>
      <c r="S159" s="1" t="s">
        <v>47</v>
      </c>
      <c r="T159" s="1" t="s">
        <v>48</v>
      </c>
      <c r="U159" s="1" t="s">
        <v>47</v>
      </c>
      <c r="V159" s="1" t="s">
        <v>47</v>
      </c>
      <c r="W159" s="1" t="s">
        <v>47</v>
      </c>
      <c r="Z159" s="1">
        <v>0</v>
      </c>
      <c r="AB159" s="1" t="s">
        <v>47</v>
      </c>
      <c r="AD159" s="1">
        <v>543522</v>
      </c>
      <c r="AF159" s="1" t="s">
        <v>47</v>
      </c>
      <c r="AG159" s="1" t="s">
        <v>47</v>
      </c>
      <c r="AH159" s="1" t="s">
        <v>49</v>
      </c>
      <c r="AI159" s="1" t="s">
        <v>47</v>
      </c>
      <c r="AK159" s="1" t="s">
        <v>48</v>
      </c>
      <c r="AL159" s="1" t="s">
        <v>585</v>
      </c>
    </row>
    <row r="160" spans="1:38">
      <c r="A160" s="1">
        <v>5136815</v>
      </c>
      <c r="B160" s="1" t="s">
        <v>586</v>
      </c>
      <c r="C160" s="1" t="str">
        <f>"9781292020501"</f>
        <v>9781292020501</v>
      </c>
      <c r="D160" s="1" t="str">
        <f>"9781292033792"</f>
        <v>9781292033792</v>
      </c>
      <c r="E160" s="1" t="s">
        <v>52</v>
      </c>
      <c r="F160" s="1" t="s">
        <v>40</v>
      </c>
      <c r="G160" s="3">
        <v>41513</v>
      </c>
      <c r="H160" s="3">
        <v>1</v>
      </c>
      <c r="I160" s="1" t="s">
        <v>41</v>
      </c>
      <c r="J160" s="1">
        <v>6</v>
      </c>
      <c r="L160" s="1" t="s">
        <v>587</v>
      </c>
      <c r="Q160" s="1" t="s">
        <v>46</v>
      </c>
      <c r="R160" s="1" t="s">
        <v>47</v>
      </c>
      <c r="S160" s="1" t="s">
        <v>47</v>
      </c>
      <c r="T160" s="1" t="s">
        <v>48</v>
      </c>
      <c r="U160" s="1" t="s">
        <v>47</v>
      </c>
      <c r="V160" s="1" t="s">
        <v>47</v>
      </c>
      <c r="W160" s="1" t="s">
        <v>47</v>
      </c>
      <c r="Z160" s="1">
        <v>0</v>
      </c>
      <c r="AB160" s="1" t="s">
        <v>47</v>
      </c>
      <c r="AD160" s="1">
        <v>527561</v>
      </c>
      <c r="AF160" s="1" t="s">
        <v>47</v>
      </c>
      <c r="AG160" s="1" t="s">
        <v>47</v>
      </c>
      <c r="AH160" s="1" t="s">
        <v>49</v>
      </c>
      <c r="AI160" s="1" t="s">
        <v>47</v>
      </c>
      <c r="AK160" s="1" t="s">
        <v>48</v>
      </c>
      <c r="AL160" s="1" t="s">
        <v>588</v>
      </c>
    </row>
    <row r="161" spans="1:38">
      <c r="A161" s="1">
        <v>5136817</v>
      </c>
      <c r="B161" s="1" t="s">
        <v>589</v>
      </c>
      <c r="C161" s="1" t="str">
        <f>"9780273784180"</f>
        <v>9780273784180</v>
      </c>
      <c r="D161" s="1" t="str">
        <f>"9780273784210"</f>
        <v>9780273784210</v>
      </c>
      <c r="E161" s="1" t="s">
        <v>52</v>
      </c>
      <c r="F161" s="1" t="s">
        <v>40</v>
      </c>
      <c r="G161" s="3">
        <v>41436</v>
      </c>
      <c r="H161" s="3">
        <v>1</v>
      </c>
      <c r="I161" s="1" t="s">
        <v>41</v>
      </c>
      <c r="J161" s="1">
        <v>2</v>
      </c>
      <c r="L161" s="1" t="s">
        <v>590</v>
      </c>
      <c r="M161" s="1" t="s">
        <v>162</v>
      </c>
      <c r="N161" s="1" t="s">
        <v>591</v>
      </c>
      <c r="O161" s="1">
        <v>341.24220759999997</v>
      </c>
      <c r="Q161" s="1" t="s">
        <v>46</v>
      </c>
      <c r="R161" s="1" t="s">
        <v>47</v>
      </c>
      <c r="S161" s="1" t="s">
        <v>47</v>
      </c>
      <c r="T161" s="1" t="s">
        <v>48</v>
      </c>
      <c r="U161" s="1" t="s">
        <v>47</v>
      </c>
      <c r="V161" s="1" t="s">
        <v>47</v>
      </c>
      <c r="W161" s="1" t="s">
        <v>47</v>
      </c>
      <c r="Z161" s="1">
        <v>0</v>
      </c>
      <c r="AB161" s="1" t="s">
        <v>47</v>
      </c>
      <c r="AD161" s="1">
        <v>497448</v>
      </c>
      <c r="AF161" s="1" t="s">
        <v>47</v>
      </c>
      <c r="AG161" s="1" t="s">
        <v>47</v>
      </c>
      <c r="AH161" s="1" t="s">
        <v>49</v>
      </c>
      <c r="AI161" s="1" t="s">
        <v>47</v>
      </c>
      <c r="AK161" s="1" t="s">
        <v>48</v>
      </c>
      <c r="AL161" s="1" t="s">
        <v>592</v>
      </c>
    </row>
    <row r="162" spans="1:38">
      <c r="A162" s="1">
        <v>5136820</v>
      </c>
      <c r="B162" s="1" t="s">
        <v>593</v>
      </c>
      <c r="C162" s="1" t="str">
        <f>"9780273783671"</f>
        <v>9780273783671</v>
      </c>
      <c r="D162" s="1" t="str">
        <f>"9780273783701"</f>
        <v>9780273783701</v>
      </c>
      <c r="E162" s="1" t="s">
        <v>52</v>
      </c>
      <c r="F162" s="1" t="s">
        <v>40</v>
      </c>
      <c r="G162" s="3">
        <v>41436</v>
      </c>
      <c r="H162" s="3">
        <v>1</v>
      </c>
      <c r="I162" s="1" t="s">
        <v>41</v>
      </c>
      <c r="J162" s="1">
        <v>2</v>
      </c>
      <c r="L162" s="1" t="s">
        <v>594</v>
      </c>
      <c r="M162" s="1" t="s">
        <v>162</v>
      </c>
      <c r="N162" s="1" t="s">
        <v>595</v>
      </c>
      <c r="O162" s="1">
        <v>346.42020760000003</v>
      </c>
      <c r="Q162" s="1" t="s">
        <v>46</v>
      </c>
      <c r="R162" s="1" t="s">
        <v>47</v>
      </c>
      <c r="S162" s="1" t="s">
        <v>47</v>
      </c>
      <c r="T162" s="1" t="s">
        <v>48</v>
      </c>
      <c r="U162" s="1" t="s">
        <v>47</v>
      </c>
      <c r="V162" s="1" t="s">
        <v>47</v>
      </c>
      <c r="W162" s="1" t="s">
        <v>47</v>
      </c>
      <c r="Z162" s="1">
        <v>0</v>
      </c>
      <c r="AB162" s="1" t="s">
        <v>47</v>
      </c>
      <c r="AD162" s="1">
        <v>497450</v>
      </c>
      <c r="AF162" s="1" t="s">
        <v>47</v>
      </c>
      <c r="AG162" s="1" t="s">
        <v>47</v>
      </c>
      <c r="AH162" s="1" t="s">
        <v>49</v>
      </c>
      <c r="AI162" s="1" t="s">
        <v>47</v>
      </c>
      <c r="AK162" s="1" t="s">
        <v>48</v>
      </c>
      <c r="AL162" s="1" t="s">
        <v>596</v>
      </c>
    </row>
    <row r="163" spans="1:38">
      <c r="A163" s="1">
        <v>5136823</v>
      </c>
      <c r="B163" s="1" t="s">
        <v>597</v>
      </c>
      <c r="C163" s="1" t="str">
        <f>"9781292042176"</f>
        <v>9781292042176</v>
      </c>
      <c r="D163" s="1" t="str">
        <f>"9781292053493"</f>
        <v>9781292053493</v>
      </c>
      <c r="E163" s="1" t="s">
        <v>52</v>
      </c>
      <c r="F163" s="1" t="s">
        <v>40</v>
      </c>
      <c r="G163" s="3">
        <v>41550</v>
      </c>
      <c r="H163" s="3">
        <v>1</v>
      </c>
      <c r="I163" s="1" t="s">
        <v>41</v>
      </c>
      <c r="J163" s="1">
        <v>5</v>
      </c>
      <c r="L163" s="1" t="s">
        <v>598</v>
      </c>
      <c r="Q163" s="1" t="s">
        <v>46</v>
      </c>
      <c r="R163" s="1" t="s">
        <v>47</v>
      </c>
      <c r="S163" s="1" t="s">
        <v>47</v>
      </c>
      <c r="T163" s="1" t="s">
        <v>48</v>
      </c>
      <c r="U163" s="1" t="s">
        <v>47</v>
      </c>
      <c r="V163" s="1" t="s">
        <v>47</v>
      </c>
      <c r="W163" s="1" t="s">
        <v>47</v>
      </c>
      <c r="Z163" s="1">
        <v>0</v>
      </c>
      <c r="AB163" s="1" t="s">
        <v>47</v>
      </c>
      <c r="AD163" s="1">
        <v>543600</v>
      </c>
      <c r="AF163" s="1" t="s">
        <v>47</v>
      </c>
      <c r="AG163" s="1" t="s">
        <v>47</v>
      </c>
      <c r="AH163" s="1" t="s">
        <v>49</v>
      </c>
      <c r="AI163" s="1" t="s">
        <v>47</v>
      </c>
      <c r="AK163" s="1" t="s">
        <v>48</v>
      </c>
      <c r="AL163" s="1" t="s">
        <v>599</v>
      </c>
    </row>
    <row r="164" spans="1:38">
      <c r="A164" s="1">
        <v>5136827</v>
      </c>
      <c r="B164" s="1" t="s">
        <v>600</v>
      </c>
      <c r="C164" s="1" t="str">
        <f>"9781447923145"</f>
        <v>9781447923145</v>
      </c>
      <c r="D164" s="1" t="str">
        <f>"9781447924050"</f>
        <v>9781447924050</v>
      </c>
      <c r="E164" s="1" t="s">
        <v>52</v>
      </c>
      <c r="F164" s="1" t="s">
        <v>40</v>
      </c>
      <c r="G164" s="3">
        <v>41459</v>
      </c>
      <c r="H164" s="3">
        <v>1</v>
      </c>
      <c r="I164" s="1" t="s">
        <v>41</v>
      </c>
      <c r="J164" s="1">
        <v>6</v>
      </c>
      <c r="L164" s="1" t="s">
        <v>214</v>
      </c>
      <c r="M164" s="1" t="s">
        <v>162</v>
      </c>
      <c r="N164" s="1" t="s">
        <v>601</v>
      </c>
      <c r="O164" s="1" t="s">
        <v>602</v>
      </c>
      <c r="Q164" s="1" t="s">
        <v>46</v>
      </c>
      <c r="R164" s="1" t="s">
        <v>47</v>
      </c>
      <c r="S164" s="1" t="s">
        <v>47</v>
      </c>
      <c r="T164" s="1" t="s">
        <v>48</v>
      </c>
      <c r="U164" s="1" t="s">
        <v>47</v>
      </c>
      <c r="V164" s="1" t="s">
        <v>47</v>
      </c>
      <c r="W164" s="1" t="s">
        <v>47</v>
      </c>
      <c r="Z164" s="1">
        <v>0</v>
      </c>
      <c r="AB164" s="1" t="s">
        <v>47</v>
      </c>
      <c r="AD164" s="1">
        <v>502450</v>
      </c>
      <c r="AF164" s="1" t="s">
        <v>47</v>
      </c>
      <c r="AG164" s="1" t="s">
        <v>47</v>
      </c>
      <c r="AH164" s="1" t="s">
        <v>49</v>
      </c>
      <c r="AI164" s="1" t="s">
        <v>47</v>
      </c>
      <c r="AK164" s="1" t="s">
        <v>48</v>
      </c>
      <c r="AL164" s="1" t="s">
        <v>603</v>
      </c>
    </row>
    <row r="165" spans="1:38">
      <c r="A165" s="1">
        <v>5136828</v>
      </c>
      <c r="B165" s="1" t="s">
        <v>604</v>
      </c>
      <c r="C165" s="1" t="str">
        <f>"9781292020983"</f>
        <v>9781292020983</v>
      </c>
      <c r="D165" s="1" t="str">
        <f>"9781292034232"</f>
        <v>9781292034232</v>
      </c>
      <c r="E165" s="1" t="s">
        <v>52</v>
      </c>
      <c r="F165" s="1" t="s">
        <v>40</v>
      </c>
      <c r="G165" s="3">
        <v>41513</v>
      </c>
      <c r="H165" s="3">
        <v>1</v>
      </c>
      <c r="I165" s="1" t="s">
        <v>41</v>
      </c>
      <c r="J165" s="1">
        <v>11</v>
      </c>
      <c r="L165" s="1" t="s">
        <v>605</v>
      </c>
      <c r="Q165" s="1" t="s">
        <v>46</v>
      </c>
      <c r="R165" s="1" t="s">
        <v>47</v>
      </c>
      <c r="S165" s="1" t="s">
        <v>47</v>
      </c>
      <c r="T165" s="1" t="s">
        <v>48</v>
      </c>
      <c r="U165" s="1" t="s">
        <v>47</v>
      </c>
      <c r="V165" s="1" t="s">
        <v>47</v>
      </c>
      <c r="W165" s="1" t="s">
        <v>47</v>
      </c>
      <c r="Z165" s="1">
        <v>0</v>
      </c>
      <c r="AB165" s="1" t="s">
        <v>47</v>
      </c>
      <c r="AD165" s="1">
        <v>526971</v>
      </c>
      <c r="AF165" s="1" t="s">
        <v>47</v>
      </c>
      <c r="AG165" s="1" t="s">
        <v>47</v>
      </c>
      <c r="AH165" s="1" t="s">
        <v>49</v>
      </c>
      <c r="AI165" s="1" t="s">
        <v>47</v>
      </c>
      <c r="AK165" s="1" t="s">
        <v>48</v>
      </c>
      <c r="AL165" s="1" t="s">
        <v>606</v>
      </c>
    </row>
    <row r="166" spans="1:38">
      <c r="A166" s="1">
        <v>5136829</v>
      </c>
      <c r="B166" s="1" t="s">
        <v>607</v>
      </c>
      <c r="C166" s="1" t="str">
        <f>"9781292040486"</f>
        <v>9781292040486</v>
      </c>
      <c r="D166" s="1" t="str">
        <f>"9781292053592"</f>
        <v>9781292053592</v>
      </c>
      <c r="E166" s="1" t="s">
        <v>52</v>
      </c>
      <c r="F166" s="1" t="s">
        <v>40</v>
      </c>
      <c r="G166" s="3">
        <v>41550</v>
      </c>
      <c r="H166" s="3">
        <v>1</v>
      </c>
      <c r="I166" s="1" t="s">
        <v>41</v>
      </c>
      <c r="J166" s="1">
        <v>11</v>
      </c>
      <c r="L166" s="1" t="s">
        <v>605</v>
      </c>
      <c r="Q166" s="1" t="s">
        <v>46</v>
      </c>
      <c r="R166" s="1" t="s">
        <v>47</v>
      </c>
      <c r="S166" s="1" t="s">
        <v>47</v>
      </c>
      <c r="T166" s="1" t="s">
        <v>48</v>
      </c>
      <c r="U166" s="1" t="s">
        <v>47</v>
      </c>
      <c r="V166" s="1" t="s">
        <v>47</v>
      </c>
      <c r="W166" s="1" t="s">
        <v>47</v>
      </c>
      <c r="Z166" s="1">
        <v>0</v>
      </c>
      <c r="AB166" s="1" t="s">
        <v>47</v>
      </c>
      <c r="AD166" s="1">
        <v>543393</v>
      </c>
      <c r="AF166" s="1" t="s">
        <v>47</v>
      </c>
      <c r="AG166" s="1" t="s">
        <v>47</v>
      </c>
      <c r="AH166" s="1" t="s">
        <v>49</v>
      </c>
      <c r="AI166" s="1" t="s">
        <v>47</v>
      </c>
      <c r="AK166" s="1" t="s">
        <v>48</v>
      </c>
      <c r="AL166" s="1" t="s">
        <v>608</v>
      </c>
    </row>
    <row r="167" spans="1:38">
      <c r="A167" s="1">
        <v>5136833</v>
      </c>
      <c r="B167" s="1" t="s">
        <v>609</v>
      </c>
      <c r="C167" s="1" t="str">
        <f>"9781292021218"</f>
        <v>9781292021218</v>
      </c>
      <c r="D167" s="1" t="str">
        <f>"9781292034447"</f>
        <v>9781292034447</v>
      </c>
      <c r="E167" s="1" t="s">
        <v>52</v>
      </c>
      <c r="F167" s="1" t="s">
        <v>40</v>
      </c>
      <c r="G167" s="3">
        <v>41513</v>
      </c>
      <c r="H167" s="3">
        <v>1</v>
      </c>
      <c r="I167" s="1" t="s">
        <v>41</v>
      </c>
      <c r="J167" s="1">
        <v>13</v>
      </c>
      <c r="L167" s="1" t="s">
        <v>610</v>
      </c>
      <c r="Q167" s="1" t="s">
        <v>46</v>
      </c>
      <c r="R167" s="1" t="s">
        <v>47</v>
      </c>
      <c r="S167" s="1" t="s">
        <v>47</v>
      </c>
      <c r="T167" s="1" t="s">
        <v>48</v>
      </c>
      <c r="U167" s="1" t="s">
        <v>47</v>
      </c>
      <c r="V167" s="1" t="s">
        <v>47</v>
      </c>
      <c r="W167" s="1" t="s">
        <v>47</v>
      </c>
      <c r="Z167" s="1">
        <v>0</v>
      </c>
      <c r="AB167" s="1" t="s">
        <v>47</v>
      </c>
      <c r="AD167" s="1">
        <v>526966</v>
      </c>
      <c r="AF167" s="1" t="s">
        <v>47</v>
      </c>
      <c r="AG167" s="1" t="s">
        <v>47</v>
      </c>
      <c r="AH167" s="1" t="s">
        <v>49</v>
      </c>
      <c r="AI167" s="1" t="s">
        <v>47</v>
      </c>
      <c r="AK167" s="1" t="s">
        <v>48</v>
      </c>
      <c r="AL167" s="1" t="s">
        <v>611</v>
      </c>
    </row>
    <row r="168" spans="1:38">
      <c r="A168" s="1">
        <v>5136835</v>
      </c>
      <c r="B168" s="1" t="s">
        <v>612</v>
      </c>
      <c r="C168" s="1" t="str">
        <f>""</f>
        <v/>
      </c>
      <c r="D168" s="1" t="str">
        <f>"9780273780038"</f>
        <v>9780273780038</v>
      </c>
      <c r="E168" s="1" t="s">
        <v>52</v>
      </c>
      <c r="F168" s="1" t="s">
        <v>40</v>
      </c>
      <c r="G168" s="3">
        <v>41584</v>
      </c>
      <c r="H168" s="3">
        <v>1</v>
      </c>
      <c r="I168" s="1" t="s">
        <v>41</v>
      </c>
      <c r="J168" s="1">
        <v>11</v>
      </c>
      <c r="L168" s="1" t="s">
        <v>613</v>
      </c>
      <c r="Q168" s="1" t="s">
        <v>46</v>
      </c>
      <c r="R168" s="1" t="s">
        <v>47</v>
      </c>
      <c r="S168" s="1" t="s">
        <v>47</v>
      </c>
      <c r="T168" s="1" t="s">
        <v>48</v>
      </c>
      <c r="U168" s="1" t="s">
        <v>47</v>
      </c>
      <c r="V168" s="1" t="s">
        <v>47</v>
      </c>
      <c r="W168" s="1" t="s">
        <v>47</v>
      </c>
      <c r="Z168" s="1">
        <v>0</v>
      </c>
      <c r="AB168" s="1" t="s">
        <v>47</v>
      </c>
      <c r="AD168" s="1">
        <v>523714</v>
      </c>
      <c r="AF168" s="1" t="s">
        <v>47</v>
      </c>
      <c r="AG168" s="1" t="s">
        <v>47</v>
      </c>
      <c r="AH168" s="1" t="s">
        <v>49</v>
      </c>
      <c r="AI168" s="1" t="s">
        <v>47</v>
      </c>
      <c r="AK168" s="1" t="s">
        <v>48</v>
      </c>
      <c r="AL168" s="1" t="s">
        <v>614</v>
      </c>
    </row>
    <row r="169" spans="1:38">
      <c r="A169" s="1">
        <v>5136836</v>
      </c>
      <c r="B169" s="1" t="s">
        <v>615</v>
      </c>
      <c r="C169" s="1" t="str">
        <f>"9780273725961"</f>
        <v>9780273725961</v>
      </c>
      <c r="D169" s="1" t="str">
        <f>"9780273726012"</f>
        <v>9780273726012</v>
      </c>
      <c r="E169" s="1" t="s">
        <v>52</v>
      </c>
      <c r="F169" s="1" t="s">
        <v>157</v>
      </c>
      <c r="G169" s="3">
        <v>40630</v>
      </c>
      <c r="H169" s="3">
        <v>1</v>
      </c>
      <c r="I169" s="1" t="s">
        <v>41</v>
      </c>
      <c r="J169" s="1">
        <v>6</v>
      </c>
      <c r="L169" s="1" t="s">
        <v>616</v>
      </c>
      <c r="M169" s="1" t="s">
        <v>372</v>
      </c>
      <c r="N169" s="1" t="s">
        <v>617</v>
      </c>
      <c r="O169" s="1">
        <v>302</v>
      </c>
      <c r="Q169" s="1" t="s">
        <v>46</v>
      </c>
      <c r="R169" s="1" t="s">
        <v>47</v>
      </c>
      <c r="S169" s="1" t="s">
        <v>47</v>
      </c>
      <c r="T169" s="1" t="s">
        <v>48</v>
      </c>
      <c r="U169" s="1" t="s">
        <v>47</v>
      </c>
      <c r="V169" s="1" t="s">
        <v>47</v>
      </c>
      <c r="W169" s="1" t="s">
        <v>47</v>
      </c>
      <c r="Z169" s="1">
        <v>0</v>
      </c>
      <c r="AB169" s="1" t="s">
        <v>47</v>
      </c>
      <c r="AD169" s="1">
        <v>305594</v>
      </c>
      <c r="AF169" s="1" t="s">
        <v>47</v>
      </c>
      <c r="AG169" s="1" t="s">
        <v>47</v>
      </c>
      <c r="AH169" s="1" t="s">
        <v>49</v>
      </c>
      <c r="AI169" s="1" t="s">
        <v>47</v>
      </c>
      <c r="AK169" s="1" t="s">
        <v>48</v>
      </c>
      <c r="AL169" s="1" t="s">
        <v>618</v>
      </c>
    </row>
    <row r="170" spans="1:38">
      <c r="A170" s="1">
        <v>5136837</v>
      </c>
      <c r="B170" s="1" t="s">
        <v>619</v>
      </c>
      <c r="C170" s="1" t="str">
        <f>"9781292024783"</f>
        <v>9781292024783</v>
      </c>
      <c r="D170" s="1" t="str">
        <f>"9781292037455"</f>
        <v>9781292037455</v>
      </c>
      <c r="E170" s="1" t="s">
        <v>52</v>
      </c>
      <c r="F170" s="1" t="s">
        <v>40</v>
      </c>
      <c r="G170" s="3">
        <v>41515</v>
      </c>
      <c r="H170" s="3">
        <v>1</v>
      </c>
      <c r="I170" s="1" t="s">
        <v>41</v>
      </c>
      <c r="J170" s="1">
        <v>8</v>
      </c>
      <c r="L170" s="1" t="s">
        <v>620</v>
      </c>
      <c r="Q170" s="1" t="s">
        <v>46</v>
      </c>
      <c r="R170" s="1" t="s">
        <v>47</v>
      </c>
      <c r="S170" s="1" t="s">
        <v>47</v>
      </c>
      <c r="T170" s="1" t="s">
        <v>48</v>
      </c>
      <c r="U170" s="1" t="s">
        <v>47</v>
      </c>
      <c r="V170" s="1" t="s">
        <v>47</v>
      </c>
      <c r="W170" s="1" t="s">
        <v>47</v>
      </c>
      <c r="Z170" s="1">
        <v>0</v>
      </c>
      <c r="AB170" s="1" t="s">
        <v>47</v>
      </c>
      <c r="AD170" s="1">
        <v>527303</v>
      </c>
      <c r="AF170" s="1" t="s">
        <v>47</v>
      </c>
      <c r="AG170" s="1" t="s">
        <v>47</v>
      </c>
      <c r="AH170" s="1" t="s">
        <v>49</v>
      </c>
      <c r="AI170" s="1" t="s">
        <v>47</v>
      </c>
      <c r="AK170" s="1" t="s">
        <v>48</v>
      </c>
      <c r="AL170" s="1" t="s">
        <v>621</v>
      </c>
    </row>
    <row r="171" spans="1:38">
      <c r="A171" s="1">
        <v>5136839</v>
      </c>
      <c r="B171" s="1" t="s">
        <v>622</v>
      </c>
      <c r="C171" s="1" t="str">
        <f>"9780273773160"</f>
        <v>9780273773160</v>
      </c>
      <c r="D171" s="1" t="str">
        <f>"9780273773191"</f>
        <v>9780273773191</v>
      </c>
      <c r="E171" s="1" t="s">
        <v>52</v>
      </c>
      <c r="F171" s="1" t="s">
        <v>40</v>
      </c>
      <c r="G171" s="3">
        <v>41523</v>
      </c>
      <c r="H171" s="3">
        <v>1</v>
      </c>
      <c r="I171" s="1" t="s">
        <v>41</v>
      </c>
      <c r="J171" s="1">
        <v>6</v>
      </c>
      <c r="L171" s="1" t="s">
        <v>623</v>
      </c>
      <c r="M171" s="1" t="s">
        <v>59</v>
      </c>
      <c r="N171" s="1" t="s">
        <v>624</v>
      </c>
      <c r="O171" s="1" t="s">
        <v>625</v>
      </c>
      <c r="Q171" s="1" t="s">
        <v>46</v>
      </c>
      <c r="R171" s="1" t="s">
        <v>47</v>
      </c>
      <c r="S171" s="1" t="s">
        <v>47</v>
      </c>
      <c r="T171" s="1" t="s">
        <v>48</v>
      </c>
      <c r="U171" s="1" t="s">
        <v>47</v>
      </c>
      <c r="V171" s="1" t="s">
        <v>47</v>
      </c>
      <c r="W171" s="1" t="s">
        <v>47</v>
      </c>
      <c r="Z171" s="1">
        <v>0</v>
      </c>
      <c r="AB171" s="1" t="s">
        <v>47</v>
      </c>
      <c r="AD171" s="1">
        <v>515961</v>
      </c>
      <c r="AF171" s="1" t="s">
        <v>47</v>
      </c>
      <c r="AG171" s="1" t="s">
        <v>47</v>
      </c>
      <c r="AH171" s="1" t="s">
        <v>49</v>
      </c>
      <c r="AI171" s="1" t="s">
        <v>47</v>
      </c>
      <c r="AK171" s="1" t="s">
        <v>48</v>
      </c>
      <c r="AL171" s="1" t="s">
        <v>626</v>
      </c>
    </row>
    <row r="172" spans="1:38">
      <c r="A172" s="1">
        <v>5136840</v>
      </c>
      <c r="B172" s="1" t="s">
        <v>627</v>
      </c>
      <c r="C172" s="1" t="str">
        <f>"9780273755142"</f>
        <v>9780273755142</v>
      </c>
      <c r="D172" s="1" t="str">
        <f>"9780273755159"</f>
        <v>9780273755159</v>
      </c>
      <c r="E172" s="1" t="s">
        <v>52</v>
      </c>
      <c r="F172" s="1" t="s">
        <v>40</v>
      </c>
      <c r="G172" s="3">
        <v>41194</v>
      </c>
      <c r="H172" s="3">
        <v>1</v>
      </c>
      <c r="I172" s="1" t="s">
        <v>41</v>
      </c>
      <c r="J172" s="1">
        <v>9</v>
      </c>
      <c r="L172" s="1" t="s">
        <v>628</v>
      </c>
      <c r="M172" s="1" t="s">
        <v>629</v>
      </c>
      <c r="N172" s="1" t="s">
        <v>630</v>
      </c>
      <c r="O172" s="1">
        <v>910.68</v>
      </c>
      <c r="Q172" s="1" t="s">
        <v>46</v>
      </c>
      <c r="R172" s="1" t="s">
        <v>47</v>
      </c>
      <c r="S172" s="1" t="s">
        <v>47</v>
      </c>
      <c r="T172" s="1" t="s">
        <v>48</v>
      </c>
      <c r="U172" s="1" t="s">
        <v>47</v>
      </c>
      <c r="V172" s="1" t="s">
        <v>47</v>
      </c>
      <c r="W172" s="1" t="s">
        <v>47</v>
      </c>
      <c r="Z172" s="1">
        <v>0</v>
      </c>
      <c r="AB172" s="1" t="s">
        <v>47</v>
      </c>
      <c r="AD172" s="1">
        <v>399619</v>
      </c>
      <c r="AF172" s="1" t="s">
        <v>47</v>
      </c>
      <c r="AG172" s="1" t="s">
        <v>47</v>
      </c>
      <c r="AH172" s="1" t="s">
        <v>49</v>
      </c>
      <c r="AI172" s="1" t="s">
        <v>47</v>
      </c>
      <c r="AK172" s="1" t="s">
        <v>48</v>
      </c>
      <c r="AL172" s="1" t="s">
        <v>631</v>
      </c>
    </row>
    <row r="173" spans="1:38">
      <c r="A173" s="1">
        <v>5136845</v>
      </c>
      <c r="B173" s="1" t="s">
        <v>632</v>
      </c>
      <c r="C173" s="1" t="str">
        <f>"9780273736219"</f>
        <v>9780273736219</v>
      </c>
      <c r="D173" s="1" t="str">
        <f>"9780273736226"</f>
        <v>9780273736226</v>
      </c>
      <c r="E173" s="1" t="s">
        <v>52</v>
      </c>
      <c r="F173" s="1" t="s">
        <v>40</v>
      </c>
      <c r="G173" s="3">
        <v>41339</v>
      </c>
      <c r="H173" s="3">
        <v>43348</v>
      </c>
      <c r="I173" s="1" t="s">
        <v>41</v>
      </c>
      <c r="J173" s="1">
        <v>4</v>
      </c>
      <c r="L173" s="1" t="s">
        <v>633</v>
      </c>
      <c r="M173" s="1" t="s">
        <v>634</v>
      </c>
      <c r="N173" s="1" t="s">
        <v>635</v>
      </c>
      <c r="O173" s="1">
        <v>364.3</v>
      </c>
      <c r="Q173" s="1" t="s">
        <v>46</v>
      </c>
      <c r="R173" s="1" t="s">
        <v>47</v>
      </c>
      <c r="S173" s="1" t="s">
        <v>47</v>
      </c>
      <c r="T173" s="1" t="s">
        <v>48</v>
      </c>
      <c r="U173" s="1" t="s">
        <v>47</v>
      </c>
      <c r="V173" s="1" t="s">
        <v>47</v>
      </c>
      <c r="W173" s="1" t="s">
        <v>47</v>
      </c>
      <c r="Z173" s="1">
        <v>0</v>
      </c>
      <c r="AB173" s="1" t="s">
        <v>48</v>
      </c>
      <c r="AD173" s="1">
        <v>463031</v>
      </c>
      <c r="AF173" s="1" t="s">
        <v>47</v>
      </c>
      <c r="AG173" s="1" t="s">
        <v>47</v>
      </c>
      <c r="AH173" s="1" t="s">
        <v>49</v>
      </c>
      <c r="AI173" s="1" t="s">
        <v>47</v>
      </c>
      <c r="AK173" s="1" t="s">
        <v>48</v>
      </c>
      <c r="AL173" s="1" t="s">
        <v>636</v>
      </c>
    </row>
    <row r="174" spans="1:38">
      <c r="A174" s="1">
        <v>5136846</v>
      </c>
      <c r="B174" s="1" t="s">
        <v>637</v>
      </c>
      <c r="C174" s="1" t="str">
        <f>"9780273734307"</f>
        <v>9780273734307</v>
      </c>
      <c r="D174" s="1" t="str">
        <f>"9780273734314"</f>
        <v>9780273734314</v>
      </c>
      <c r="E174" s="1" t="s">
        <v>52</v>
      </c>
      <c r="F174" s="1" t="s">
        <v>157</v>
      </c>
      <c r="G174" s="3">
        <v>40630</v>
      </c>
      <c r="H174" s="3">
        <v>1</v>
      </c>
      <c r="I174" s="1" t="s">
        <v>41</v>
      </c>
      <c r="J174" s="1">
        <v>5</v>
      </c>
      <c r="L174" s="1" t="s">
        <v>223</v>
      </c>
      <c r="M174" s="1" t="s">
        <v>100</v>
      </c>
      <c r="N174" s="1" t="s">
        <v>638</v>
      </c>
      <c r="O174" s="1" t="s">
        <v>639</v>
      </c>
      <c r="Q174" s="1" t="s">
        <v>46</v>
      </c>
      <c r="R174" s="1" t="s">
        <v>47</v>
      </c>
      <c r="S174" s="1" t="s">
        <v>47</v>
      </c>
      <c r="T174" s="1" t="s">
        <v>48</v>
      </c>
      <c r="U174" s="1" t="s">
        <v>47</v>
      </c>
      <c r="V174" s="1" t="s">
        <v>47</v>
      </c>
      <c r="W174" s="1" t="s">
        <v>47</v>
      </c>
      <c r="Z174" s="1">
        <v>0</v>
      </c>
      <c r="AB174" s="1" t="s">
        <v>47</v>
      </c>
      <c r="AD174" s="1">
        <v>305597</v>
      </c>
      <c r="AF174" s="1" t="s">
        <v>47</v>
      </c>
      <c r="AG174" s="1" t="s">
        <v>47</v>
      </c>
      <c r="AH174" s="1" t="s">
        <v>49</v>
      </c>
      <c r="AI174" s="1" t="s">
        <v>47</v>
      </c>
      <c r="AK174" s="1" t="s">
        <v>48</v>
      </c>
      <c r="AL174" s="1" t="s">
        <v>640</v>
      </c>
    </row>
    <row r="175" spans="1:38">
      <c r="A175" s="1">
        <v>5136851</v>
      </c>
      <c r="B175" s="1" t="s">
        <v>641</v>
      </c>
      <c r="C175" s="1" t="str">
        <f>"9780273755104"</f>
        <v>9780273755104</v>
      </c>
      <c r="D175" s="1" t="str">
        <f>"9780273755111"</f>
        <v>9780273755111</v>
      </c>
      <c r="E175" s="1" t="s">
        <v>52</v>
      </c>
      <c r="F175" s="1" t="s">
        <v>40</v>
      </c>
      <c r="G175" s="3">
        <v>40961</v>
      </c>
      <c r="H175" s="3">
        <v>1</v>
      </c>
      <c r="I175" s="1" t="s">
        <v>41</v>
      </c>
      <c r="J175" s="1">
        <v>11</v>
      </c>
      <c r="L175" s="1" t="s">
        <v>642</v>
      </c>
      <c r="M175" s="1" t="s">
        <v>280</v>
      </c>
      <c r="N175" s="1" t="s">
        <v>643</v>
      </c>
      <c r="O175" s="1">
        <v>621.29999999999995</v>
      </c>
      <c r="P175" s="1" t="s">
        <v>644</v>
      </c>
      <c r="Q175" s="1" t="s">
        <v>46</v>
      </c>
      <c r="R175" s="1" t="s">
        <v>47</v>
      </c>
      <c r="S175" s="1" t="s">
        <v>47</v>
      </c>
      <c r="T175" s="1" t="s">
        <v>48</v>
      </c>
      <c r="U175" s="1" t="s">
        <v>47</v>
      </c>
      <c r="V175" s="1" t="s">
        <v>47</v>
      </c>
      <c r="W175" s="1" t="s">
        <v>47</v>
      </c>
      <c r="Z175" s="1">
        <v>0</v>
      </c>
      <c r="AB175" s="1" t="s">
        <v>47</v>
      </c>
      <c r="AD175" s="1">
        <v>369125</v>
      </c>
      <c r="AF175" s="1" t="s">
        <v>47</v>
      </c>
      <c r="AG175" s="1" t="s">
        <v>47</v>
      </c>
      <c r="AH175" s="1" t="s">
        <v>49</v>
      </c>
      <c r="AI175" s="1" t="s">
        <v>47</v>
      </c>
      <c r="AK175" s="1" t="s">
        <v>48</v>
      </c>
      <c r="AL175" s="1" t="s">
        <v>645</v>
      </c>
    </row>
    <row r="176" spans="1:38">
      <c r="A176" s="1">
        <v>5136860</v>
      </c>
      <c r="B176" s="1" t="s">
        <v>646</v>
      </c>
      <c r="C176" s="1" t="str">
        <f>"9780273734093"</f>
        <v>9780273734093</v>
      </c>
      <c r="D176" s="1" t="str">
        <f>"9780273742517"</f>
        <v>9780273742517</v>
      </c>
      <c r="E176" s="1" t="s">
        <v>52</v>
      </c>
      <c r="F176" s="1" t="s">
        <v>157</v>
      </c>
      <c r="G176" s="3">
        <v>40807</v>
      </c>
      <c r="H176" s="3">
        <v>1</v>
      </c>
      <c r="I176" s="1" t="s">
        <v>41</v>
      </c>
      <c r="J176" s="1">
        <v>4</v>
      </c>
      <c r="L176" s="1" t="s">
        <v>647</v>
      </c>
      <c r="Q176" s="1" t="s">
        <v>46</v>
      </c>
      <c r="R176" s="1" t="s">
        <v>47</v>
      </c>
      <c r="S176" s="1" t="s">
        <v>47</v>
      </c>
      <c r="T176" s="1" t="s">
        <v>48</v>
      </c>
      <c r="U176" s="1" t="s">
        <v>47</v>
      </c>
      <c r="V176" s="1" t="s">
        <v>47</v>
      </c>
      <c r="W176" s="1" t="s">
        <v>47</v>
      </c>
      <c r="Z176" s="1">
        <v>0</v>
      </c>
      <c r="AB176" s="1" t="s">
        <v>47</v>
      </c>
      <c r="AD176" s="1">
        <v>327544</v>
      </c>
      <c r="AF176" s="1" t="s">
        <v>47</v>
      </c>
      <c r="AG176" s="1" t="s">
        <v>47</v>
      </c>
      <c r="AH176" s="1" t="s">
        <v>49</v>
      </c>
      <c r="AI176" s="1" t="s">
        <v>47</v>
      </c>
      <c r="AK176" s="1" t="s">
        <v>48</v>
      </c>
      <c r="AL176" s="1" t="s">
        <v>648</v>
      </c>
    </row>
    <row r="177" spans="1:38">
      <c r="A177" s="1">
        <v>5136861</v>
      </c>
      <c r="B177" s="1" t="s">
        <v>649</v>
      </c>
      <c r="C177" s="1" t="str">
        <f>""</f>
        <v/>
      </c>
      <c r="D177" s="1" t="str">
        <f>"9780273743958"</f>
        <v>9780273743958</v>
      </c>
      <c r="E177" s="1" t="s">
        <v>52</v>
      </c>
      <c r="F177" s="1" t="s">
        <v>157</v>
      </c>
      <c r="G177" s="3">
        <v>40630</v>
      </c>
      <c r="H177" s="3">
        <v>1</v>
      </c>
      <c r="I177" s="1" t="s">
        <v>41</v>
      </c>
      <c r="J177" s="1">
        <v>3</v>
      </c>
      <c r="L177" s="1" t="s">
        <v>650</v>
      </c>
      <c r="Q177" s="1" t="s">
        <v>46</v>
      </c>
      <c r="R177" s="1" t="s">
        <v>47</v>
      </c>
      <c r="S177" s="1" t="s">
        <v>47</v>
      </c>
      <c r="T177" s="1" t="s">
        <v>48</v>
      </c>
      <c r="U177" s="1" t="s">
        <v>47</v>
      </c>
      <c r="V177" s="1" t="s">
        <v>47</v>
      </c>
      <c r="W177" s="1" t="s">
        <v>47</v>
      </c>
      <c r="Z177" s="1">
        <v>0</v>
      </c>
      <c r="AB177" s="1" t="s">
        <v>47</v>
      </c>
      <c r="AD177" s="1">
        <v>305622</v>
      </c>
      <c r="AF177" s="1" t="s">
        <v>47</v>
      </c>
      <c r="AG177" s="1" t="s">
        <v>47</v>
      </c>
      <c r="AH177" s="1" t="s">
        <v>49</v>
      </c>
      <c r="AI177" s="1" t="s">
        <v>47</v>
      </c>
      <c r="AK177" s="1" t="s">
        <v>48</v>
      </c>
      <c r="AL177" s="1" t="s">
        <v>651</v>
      </c>
    </row>
    <row r="178" spans="1:38">
      <c r="A178" s="1">
        <v>5136863</v>
      </c>
      <c r="B178" s="1" t="s">
        <v>652</v>
      </c>
      <c r="C178" s="1" t="str">
        <f>"9781447923329"</f>
        <v>9781447923329</v>
      </c>
      <c r="D178" s="1" t="str">
        <f>"9781447923336"</f>
        <v>9781447923336</v>
      </c>
      <c r="E178" s="1" t="s">
        <v>52</v>
      </c>
      <c r="F178" s="1" t="s">
        <v>40</v>
      </c>
      <c r="G178" s="3">
        <v>41436</v>
      </c>
      <c r="H178" s="3">
        <v>1</v>
      </c>
      <c r="I178" s="1" t="s">
        <v>41</v>
      </c>
      <c r="J178" s="1">
        <v>11</v>
      </c>
      <c r="L178" s="1" t="s">
        <v>653</v>
      </c>
      <c r="Q178" s="1" t="s">
        <v>46</v>
      </c>
      <c r="R178" s="1" t="s">
        <v>47</v>
      </c>
      <c r="S178" s="1" t="s">
        <v>47</v>
      </c>
      <c r="T178" s="1" t="s">
        <v>48</v>
      </c>
      <c r="U178" s="1" t="s">
        <v>47</v>
      </c>
      <c r="V178" s="1" t="s">
        <v>47</v>
      </c>
      <c r="W178" s="1" t="s">
        <v>47</v>
      </c>
      <c r="Z178" s="1">
        <v>0</v>
      </c>
      <c r="AB178" s="1" t="s">
        <v>47</v>
      </c>
      <c r="AD178" s="1">
        <v>497453</v>
      </c>
      <c r="AF178" s="1" t="s">
        <v>47</v>
      </c>
      <c r="AG178" s="1" t="s">
        <v>47</v>
      </c>
      <c r="AH178" s="1" t="s">
        <v>49</v>
      </c>
      <c r="AI178" s="1" t="s">
        <v>47</v>
      </c>
      <c r="AK178" s="1" t="s">
        <v>48</v>
      </c>
      <c r="AL178" s="1" t="s">
        <v>654</v>
      </c>
    </row>
    <row r="179" spans="1:38">
      <c r="A179" s="1">
        <v>5136864</v>
      </c>
      <c r="B179" s="1" t="s">
        <v>655</v>
      </c>
      <c r="C179" s="1" t="str">
        <f>"9780273762652"</f>
        <v>9780273762652</v>
      </c>
      <c r="D179" s="1" t="str">
        <f>"9780273762676"</f>
        <v>9780273762676</v>
      </c>
      <c r="E179" s="1" t="s">
        <v>52</v>
      </c>
      <c r="F179" s="1" t="s">
        <v>40</v>
      </c>
      <c r="G179" s="3">
        <v>41128</v>
      </c>
      <c r="H179" s="3">
        <v>1</v>
      </c>
      <c r="I179" s="1" t="s">
        <v>41</v>
      </c>
      <c r="J179" s="1">
        <v>9</v>
      </c>
      <c r="L179" s="1" t="s">
        <v>656</v>
      </c>
      <c r="M179" s="1" t="s">
        <v>59</v>
      </c>
      <c r="N179" s="1" t="s">
        <v>657</v>
      </c>
      <c r="O179" s="1" t="s">
        <v>658</v>
      </c>
      <c r="Q179" s="1" t="s">
        <v>46</v>
      </c>
      <c r="R179" s="1" t="s">
        <v>47</v>
      </c>
      <c r="S179" s="1" t="s">
        <v>47</v>
      </c>
      <c r="T179" s="1" t="s">
        <v>48</v>
      </c>
      <c r="U179" s="1" t="s">
        <v>47</v>
      </c>
      <c r="V179" s="1" t="s">
        <v>47</v>
      </c>
      <c r="W179" s="1" t="s">
        <v>47</v>
      </c>
      <c r="Z179" s="1">
        <v>0</v>
      </c>
      <c r="AB179" s="1" t="s">
        <v>47</v>
      </c>
      <c r="AD179" s="1">
        <v>385391</v>
      </c>
      <c r="AF179" s="1" t="s">
        <v>47</v>
      </c>
      <c r="AG179" s="1" t="s">
        <v>47</v>
      </c>
      <c r="AH179" s="1" t="s">
        <v>49</v>
      </c>
      <c r="AI179" s="1" t="s">
        <v>47</v>
      </c>
      <c r="AK179" s="1" t="s">
        <v>48</v>
      </c>
      <c r="AL179" s="1" t="s">
        <v>659</v>
      </c>
    </row>
    <row r="180" spans="1:38">
      <c r="A180" s="1">
        <v>5136868</v>
      </c>
      <c r="B180" s="1" t="s">
        <v>660</v>
      </c>
      <c r="C180" s="1" t="str">
        <f>"9781292022963"</f>
        <v>9781292022963</v>
      </c>
      <c r="D180" s="1" t="str">
        <f>"9781292036144"</f>
        <v>9781292036144</v>
      </c>
      <c r="E180" s="1" t="s">
        <v>52</v>
      </c>
      <c r="F180" s="1" t="s">
        <v>40</v>
      </c>
      <c r="G180" s="3">
        <v>41514</v>
      </c>
      <c r="H180" s="3">
        <v>1</v>
      </c>
      <c r="I180" s="1" t="s">
        <v>41</v>
      </c>
      <c r="J180" s="1">
        <v>6</v>
      </c>
      <c r="L180" s="1" t="s">
        <v>661</v>
      </c>
      <c r="Q180" s="1" t="s">
        <v>46</v>
      </c>
      <c r="R180" s="1" t="s">
        <v>47</v>
      </c>
      <c r="S180" s="1" t="s">
        <v>47</v>
      </c>
      <c r="T180" s="1" t="s">
        <v>48</v>
      </c>
      <c r="U180" s="1" t="s">
        <v>47</v>
      </c>
      <c r="V180" s="1" t="s">
        <v>47</v>
      </c>
      <c r="W180" s="1" t="s">
        <v>47</v>
      </c>
      <c r="Z180" s="1">
        <v>0</v>
      </c>
      <c r="AB180" s="1" t="s">
        <v>47</v>
      </c>
      <c r="AD180" s="1">
        <v>527376</v>
      </c>
      <c r="AF180" s="1" t="s">
        <v>47</v>
      </c>
      <c r="AG180" s="1" t="s">
        <v>47</v>
      </c>
      <c r="AH180" s="1" t="s">
        <v>49</v>
      </c>
      <c r="AI180" s="1" t="s">
        <v>47</v>
      </c>
      <c r="AK180" s="1" t="s">
        <v>48</v>
      </c>
      <c r="AL180" s="1" t="s">
        <v>662</v>
      </c>
    </row>
    <row r="181" spans="1:38">
      <c r="A181" s="1">
        <v>5136869</v>
      </c>
      <c r="B181" s="1" t="s">
        <v>663</v>
      </c>
      <c r="C181" s="1" t="str">
        <f>"9781292042602"</f>
        <v>9781292042602</v>
      </c>
      <c r="D181" s="1" t="str">
        <f>"9781292053776"</f>
        <v>9781292053776</v>
      </c>
      <c r="E181" s="1" t="s">
        <v>52</v>
      </c>
      <c r="F181" s="1" t="s">
        <v>40</v>
      </c>
      <c r="G181" s="3">
        <v>41550</v>
      </c>
      <c r="H181" s="3">
        <v>1</v>
      </c>
      <c r="I181" s="1" t="s">
        <v>41</v>
      </c>
      <c r="J181" s="1">
        <v>11</v>
      </c>
      <c r="L181" s="1" t="s">
        <v>664</v>
      </c>
      <c r="Q181" s="1" t="s">
        <v>46</v>
      </c>
      <c r="R181" s="1" t="s">
        <v>47</v>
      </c>
      <c r="S181" s="1" t="s">
        <v>47</v>
      </c>
      <c r="T181" s="1" t="s">
        <v>48</v>
      </c>
      <c r="U181" s="1" t="s">
        <v>47</v>
      </c>
      <c r="V181" s="1" t="s">
        <v>47</v>
      </c>
      <c r="W181" s="1" t="s">
        <v>47</v>
      </c>
      <c r="Z181" s="1">
        <v>0</v>
      </c>
      <c r="AB181" s="1" t="s">
        <v>47</v>
      </c>
      <c r="AD181" s="1">
        <v>543587</v>
      </c>
      <c r="AF181" s="1" t="s">
        <v>47</v>
      </c>
      <c r="AG181" s="1" t="s">
        <v>47</v>
      </c>
      <c r="AH181" s="1" t="s">
        <v>49</v>
      </c>
      <c r="AI181" s="1" t="s">
        <v>47</v>
      </c>
      <c r="AK181" s="1" t="s">
        <v>48</v>
      </c>
      <c r="AL181" s="1" t="s">
        <v>665</v>
      </c>
    </row>
    <row r="182" spans="1:38">
      <c r="A182" s="1">
        <v>5136872</v>
      </c>
      <c r="B182" s="1" t="s">
        <v>666</v>
      </c>
      <c r="C182" s="1" t="str">
        <f>""</f>
        <v/>
      </c>
      <c r="D182" s="1" t="str">
        <f>"9780273775690"</f>
        <v>9780273775690</v>
      </c>
      <c r="E182" s="1" t="s">
        <v>52</v>
      </c>
      <c r="F182" s="1" t="s">
        <v>40</v>
      </c>
      <c r="G182" s="3">
        <v>41584</v>
      </c>
      <c r="H182" s="3">
        <v>1</v>
      </c>
      <c r="I182" s="1" t="s">
        <v>41</v>
      </c>
      <c r="J182" s="1">
        <v>13</v>
      </c>
      <c r="L182" s="1" t="s">
        <v>667</v>
      </c>
      <c r="Q182" s="1" t="s">
        <v>46</v>
      </c>
      <c r="R182" s="1" t="s">
        <v>47</v>
      </c>
      <c r="S182" s="1" t="s">
        <v>47</v>
      </c>
      <c r="T182" s="1" t="s">
        <v>48</v>
      </c>
      <c r="U182" s="1" t="s">
        <v>47</v>
      </c>
      <c r="V182" s="1" t="s">
        <v>47</v>
      </c>
      <c r="W182" s="1" t="s">
        <v>47</v>
      </c>
      <c r="Z182" s="1">
        <v>0</v>
      </c>
      <c r="AB182" s="1" t="s">
        <v>47</v>
      </c>
      <c r="AD182" s="1">
        <v>523710</v>
      </c>
      <c r="AF182" s="1" t="s">
        <v>47</v>
      </c>
      <c r="AG182" s="1" t="s">
        <v>47</v>
      </c>
      <c r="AH182" s="1" t="s">
        <v>49</v>
      </c>
      <c r="AI182" s="1" t="s">
        <v>47</v>
      </c>
      <c r="AK182" s="1" t="s">
        <v>48</v>
      </c>
      <c r="AL182" s="1" t="s">
        <v>668</v>
      </c>
    </row>
    <row r="183" spans="1:38">
      <c r="A183" s="1">
        <v>5136873</v>
      </c>
      <c r="B183" s="1" t="s">
        <v>669</v>
      </c>
      <c r="C183" s="1" t="str">
        <f>"9781292026343"</f>
        <v>9781292026343</v>
      </c>
      <c r="D183" s="1" t="str">
        <f>"9781292038735"</f>
        <v>9781292038735</v>
      </c>
      <c r="E183" s="1" t="s">
        <v>52</v>
      </c>
      <c r="F183" s="1" t="s">
        <v>40</v>
      </c>
      <c r="G183" s="3">
        <v>41515</v>
      </c>
      <c r="H183" s="3">
        <v>1</v>
      </c>
      <c r="I183" s="1" t="s">
        <v>41</v>
      </c>
      <c r="J183" s="1">
        <v>10</v>
      </c>
      <c r="L183" s="1" t="s">
        <v>670</v>
      </c>
      <c r="Q183" s="1" t="s">
        <v>46</v>
      </c>
      <c r="R183" s="1" t="s">
        <v>47</v>
      </c>
      <c r="S183" s="1" t="s">
        <v>47</v>
      </c>
      <c r="T183" s="1" t="s">
        <v>48</v>
      </c>
      <c r="U183" s="1" t="s">
        <v>47</v>
      </c>
      <c r="V183" s="1" t="s">
        <v>47</v>
      </c>
      <c r="W183" s="1" t="s">
        <v>47</v>
      </c>
      <c r="Z183" s="1">
        <v>0</v>
      </c>
      <c r="AB183" s="1" t="s">
        <v>47</v>
      </c>
      <c r="AD183" s="1">
        <v>527156</v>
      </c>
      <c r="AF183" s="1" t="s">
        <v>47</v>
      </c>
      <c r="AG183" s="1" t="s">
        <v>47</v>
      </c>
      <c r="AH183" s="1" t="s">
        <v>49</v>
      </c>
      <c r="AI183" s="1" t="s">
        <v>47</v>
      </c>
      <c r="AK183" s="1" t="s">
        <v>48</v>
      </c>
      <c r="AL183" s="1" t="s">
        <v>671</v>
      </c>
    </row>
    <row r="184" spans="1:38">
      <c r="A184" s="1">
        <v>5136875</v>
      </c>
      <c r="B184" s="1" t="s">
        <v>672</v>
      </c>
      <c r="C184" s="1" t="str">
        <f>"9781292022420"</f>
        <v>9781292022420</v>
      </c>
      <c r="D184" s="1" t="str">
        <f>"9781292035628"</f>
        <v>9781292035628</v>
      </c>
      <c r="E184" s="1" t="s">
        <v>52</v>
      </c>
      <c r="F184" s="1" t="s">
        <v>40</v>
      </c>
      <c r="G184" s="3">
        <v>41514</v>
      </c>
      <c r="H184" s="3">
        <v>1</v>
      </c>
      <c r="I184" s="1" t="s">
        <v>41</v>
      </c>
      <c r="J184" s="1">
        <v>2</v>
      </c>
      <c r="L184" s="1" t="s">
        <v>673</v>
      </c>
      <c r="Q184" s="1" t="s">
        <v>46</v>
      </c>
      <c r="R184" s="1" t="s">
        <v>47</v>
      </c>
      <c r="S184" s="1" t="s">
        <v>47</v>
      </c>
      <c r="T184" s="1" t="s">
        <v>48</v>
      </c>
      <c r="U184" s="1" t="s">
        <v>47</v>
      </c>
      <c r="V184" s="1" t="s">
        <v>47</v>
      </c>
      <c r="W184" s="1" t="s">
        <v>47</v>
      </c>
      <c r="Z184" s="1">
        <v>0</v>
      </c>
      <c r="AB184" s="1" t="s">
        <v>47</v>
      </c>
      <c r="AD184" s="1">
        <v>527409</v>
      </c>
      <c r="AF184" s="1" t="s">
        <v>47</v>
      </c>
      <c r="AG184" s="1" t="s">
        <v>47</v>
      </c>
      <c r="AH184" s="1" t="s">
        <v>49</v>
      </c>
      <c r="AI184" s="1" t="s">
        <v>47</v>
      </c>
      <c r="AK184" s="1" t="s">
        <v>48</v>
      </c>
      <c r="AL184" s="1" t="s">
        <v>674</v>
      </c>
    </row>
    <row r="185" spans="1:38">
      <c r="A185" s="1">
        <v>5136876</v>
      </c>
      <c r="B185" s="1" t="s">
        <v>675</v>
      </c>
      <c r="C185" s="1" t="str">
        <f>"9781292020877"</f>
        <v>9781292020877</v>
      </c>
      <c r="D185" s="1" t="str">
        <f>"9781292034126"</f>
        <v>9781292034126</v>
      </c>
      <c r="E185" s="1" t="s">
        <v>52</v>
      </c>
      <c r="F185" s="1" t="s">
        <v>40</v>
      </c>
      <c r="G185" s="3">
        <v>41513</v>
      </c>
      <c r="H185" s="3">
        <v>1</v>
      </c>
      <c r="I185" s="1" t="s">
        <v>41</v>
      </c>
      <c r="J185" s="1">
        <v>6</v>
      </c>
      <c r="L185" s="1" t="s">
        <v>676</v>
      </c>
      <c r="Q185" s="1" t="s">
        <v>46</v>
      </c>
      <c r="R185" s="1" t="s">
        <v>47</v>
      </c>
      <c r="S185" s="1" t="s">
        <v>47</v>
      </c>
      <c r="T185" s="1" t="s">
        <v>48</v>
      </c>
      <c r="U185" s="1" t="s">
        <v>47</v>
      </c>
      <c r="V185" s="1" t="s">
        <v>47</v>
      </c>
      <c r="W185" s="1" t="s">
        <v>47</v>
      </c>
      <c r="Z185" s="1">
        <v>0</v>
      </c>
      <c r="AB185" s="1" t="s">
        <v>47</v>
      </c>
      <c r="AD185" s="1">
        <v>526956</v>
      </c>
      <c r="AF185" s="1" t="s">
        <v>47</v>
      </c>
      <c r="AG185" s="1" t="s">
        <v>47</v>
      </c>
      <c r="AH185" s="1" t="s">
        <v>49</v>
      </c>
      <c r="AI185" s="1" t="s">
        <v>47</v>
      </c>
      <c r="AK185" s="1" t="s">
        <v>48</v>
      </c>
      <c r="AL185" s="1" t="s">
        <v>677</v>
      </c>
    </row>
    <row r="186" spans="1:38">
      <c r="A186" s="1">
        <v>5136879</v>
      </c>
      <c r="B186" s="1" t="s">
        <v>678</v>
      </c>
      <c r="C186" s="1" t="str">
        <f>""</f>
        <v/>
      </c>
      <c r="D186" s="1" t="str">
        <f>"9780273766841"</f>
        <v>9780273766841</v>
      </c>
      <c r="E186" s="1" t="s">
        <v>52</v>
      </c>
      <c r="F186" s="1" t="s">
        <v>365</v>
      </c>
      <c r="G186" s="3">
        <v>41353</v>
      </c>
      <c r="H186" s="3">
        <v>1</v>
      </c>
      <c r="I186" s="1" t="s">
        <v>41</v>
      </c>
      <c r="J186" s="1">
        <v>10</v>
      </c>
      <c r="L186" s="1" t="s">
        <v>679</v>
      </c>
      <c r="Q186" s="1" t="s">
        <v>46</v>
      </c>
      <c r="R186" s="1" t="s">
        <v>47</v>
      </c>
      <c r="S186" s="1" t="s">
        <v>47</v>
      </c>
      <c r="T186" s="1" t="s">
        <v>48</v>
      </c>
      <c r="U186" s="1" t="s">
        <v>47</v>
      </c>
      <c r="V186" s="1" t="s">
        <v>47</v>
      </c>
      <c r="W186" s="1" t="s">
        <v>47</v>
      </c>
      <c r="Z186" s="1">
        <v>0</v>
      </c>
      <c r="AB186" s="1" t="s">
        <v>47</v>
      </c>
      <c r="AD186" s="1">
        <v>469790</v>
      </c>
      <c r="AF186" s="1" t="s">
        <v>47</v>
      </c>
      <c r="AG186" s="1" t="s">
        <v>47</v>
      </c>
      <c r="AH186" s="1" t="s">
        <v>49</v>
      </c>
      <c r="AI186" s="1" t="s">
        <v>47</v>
      </c>
      <c r="AK186" s="1" t="s">
        <v>48</v>
      </c>
      <c r="AL186" s="1" t="s">
        <v>680</v>
      </c>
    </row>
    <row r="187" spans="1:38">
      <c r="A187" s="1">
        <v>5136881</v>
      </c>
      <c r="B187" s="1" t="s">
        <v>681</v>
      </c>
      <c r="C187" s="1" t="str">
        <f>"9781292039756"</f>
        <v>9781292039756</v>
      </c>
      <c r="D187" s="1" t="str">
        <f>"9781292054018"</f>
        <v>9781292054018</v>
      </c>
      <c r="E187" s="1" t="s">
        <v>52</v>
      </c>
      <c r="F187" s="1" t="s">
        <v>40</v>
      </c>
      <c r="G187" s="3">
        <v>41550</v>
      </c>
      <c r="H187" s="3">
        <v>1</v>
      </c>
      <c r="I187" s="1" t="s">
        <v>41</v>
      </c>
      <c r="J187" s="1">
        <v>4</v>
      </c>
      <c r="L187" s="1" t="s">
        <v>682</v>
      </c>
      <c r="Q187" s="1" t="s">
        <v>46</v>
      </c>
      <c r="R187" s="1" t="s">
        <v>47</v>
      </c>
      <c r="S187" s="1" t="s">
        <v>47</v>
      </c>
      <c r="T187" s="1" t="s">
        <v>48</v>
      </c>
      <c r="U187" s="1" t="s">
        <v>47</v>
      </c>
      <c r="V187" s="1" t="s">
        <v>47</v>
      </c>
      <c r="W187" s="1" t="s">
        <v>47</v>
      </c>
      <c r="Z187" s="1">
        <v>0</v>
      </c>
      <c r="AB187" s="1" t="s">
        <v>47</v>
      </c>
      <c r="AD187" s="1">
        <v>543572</v>
      </c>
      <c r="AF187" s="1" t="s">
        <v>47</v>
      </c>
      <c r="AG187" s="1" t="s">
        <v>47</v>
      </c>
      <c r="AH187" s="1" t="s">
        <v>49</v>
      </c>
      <c r="AI187" s="1" t="s">
        <v>47</v>
      </c>
      <c r="AK187" s="1" t="s">
        <v>48</v>
      </c>
      <c r="AL187" s="1" t="s">
        <v>683</v>
      </c>
    </row>
    <row r="188" spans="1:38">
      <c r="A188" s="1">
        <v>5136885</v>
      </c>
      <c r="B188" s="1" t="s">
        <v>684</v>
      </c>
      <c r="C188" s="1" t="str">
        <f>"9781292040592"</f>
        <v>9781292040592</v>
      </c>
      <c r="D188" s="1" t="str">
        <f>"9781292054032"</f>
        <v>9781292054032</v>
      </c>
      <c r="E188" s="1" t="s">
        <v>52</v>
      </c>
      <c r="F188" s="1" t="s">
        <v>40</v>
      </c>
      <c r="G188" s="3">
        <v>41550</v>
      </c>
      <c r="H188" s="3">
        <v>1</v>
      </c>
      <c r="I188" s="1" t="s">
        <v>41</v>
      </c>
      <c r="J188" s="1">
        <v>6</v>
      </c>
      <c r="L188" s="1" t="s">
        <v>685</v>
      </c>
      <c r="Q188" s="1" t="s">
        <v>46</v>
      </c>
      <c r="R188" s="1" t="s">
        <v>47</v>
      </c>
      <c r="S188" s="1" t="s">
        <v>47</v>
      </c>
      <c r="T188" s="1" t="s">
        <v>48</v>
      </c>
      <c r="U188" s="1" t="s">
        <v>47</v>
      </c>
      <c r="V188" s="1" t="s">
        <v>47</v>
      </c>
      <c r="W188" s="1" t="s">
        <v>47</v>
      </c>
      <c r="Z188" s="1">
        <v>0</v>
      </c>
      <c r="AB188" s="1" t="s">
        <v>47</v>
      </c>
      <c r="AD188" s="1">
        <v>543565</v>
      </c>
      <c r="AF188" s="1" t="s">
        <v>47</v>
      </c>
      <c r="AG188" s="1" t="s">
        <v>47</v>
      </c>
      <c r="AH188" s="1" t="s">
        <v>49</v>
      </c>
      <c r="AI188" s="1" t="s">
        <v>47</v>
      </c>
      <c r="AK188" s="1" t="s">
        <v>48</v>
      </c>
      <c r="AL188" s="1" t="s">
        <v>686</v>
      </c>
    </row>
    <row r="189" spans="1:38">
      <c r="A189" s="1">
        <v>5136888</v>
      </c>
      <c r="B189" s="1" t="s">
        <v>687</v>
      </c>
      <c r="C189" s="1" t="str">
        <f>"9781408234303"</f>
        <v>9781408234303</v>
      </c>
      <c r="D189" s="1" t="str">
        <f>"9781408234310"</f>
        <v>9781408234310</v>
      </c>
      <c r="E189" s="1" t="s">
        <v>52</v>
      </c>
      <c r="F189" s="1" t="s">
        <v>688</v>
      </c>
      <c r="G189" s="3">
        <v>40619</v>
      </c>
      <c r="H189" s="3">
        <v>1</v>
      </c>
      <c r="I189" s="1" t="s">
        <v>41</v>
      </c>
      <c r="J189" s="1">
        <v>15</v>
      </c>
      <c r="L189" s="1" t="s">
        <v>689</v>
      </c>
      <c r="M189" s="1" t="s">
        <v>690</v>
      </c>
      <c r="N189" s="1" t="s">
        <v>691</v>
      </c>
      <c r="O189" s="1">
        <v>570.29999999999995</v>
      </c>
      <c r="P189" s="1" t="s">
        <v>692</v>
      </c>
      <c r="Q189" s="1" t="s">
        <v>46</v>
      </c>
      <c r="R189" s="1" t="s">
        <v>47</v>
      </c>
      <c r="S189" s="1" t="s">
        <v>47</v>
      </c>
      <c r="T189" s="1" t="s">
        <v>48</v>
      </c>
      <c r="U189" s="1" t="s">
        <v>47</v>
      </c>
      <c r="V189" s="1" t="s">
        <v>47</v>
      </c>
      <c r="W189" s="1" t="s">
        <v>47</v>
      </c>
      <c r="Z189" s="1">
        <v>0</v>
      </c>
      <c r="AB189" s="1" t="s">
        <v>47</v>
      </c>
      <c r="AD189" s="1">
        <v>311493</v>
      </c>
      <c r="AF189" s="1" t="s">
        <v>47</v>
      </c>
      <c r="AG189" s="1" t="s">
        <v>47</v>
      </c>
      <c r="AH189" s="1" t="s">
        <v>49</v>
      </c>
      <c r="AI189" s="1" t="s">
        <v>47</v>
      </c>
      <c r="AK189" s="1" t="s">
        <v>48</v>
      </c>
      <c r="AL189" s="1" t="s">
        <v>693</v>
      </c>
    </row>
    <row r="190" spans="1:38">
      <c r="A190" s="1">
        <v>5136889</v>
      </c>
      <c r="B190" s="1" t="s">
        <v>694</v>
      </c>
      <c r="C190" s="1" t="str">
        <f>"9781292027975"</f>
        <v>9781292027975</v>
      </c>
      <c r="D190" s="1" t="str">
        <f>"9781292054100"</f>
        <v>9781292054100</v>
      </c>
      <c r="E190" s="1" t="s">
        <v>52</v>
      </c>
      <c r="F190" s="1" t="s">
        <v>40</v>
      </c>
      <c r="G190" s="3">
        <v>41550</v>
      </c>
      <c r="H190" s="3">
        <v>1</v>
      </c>
      <c r="I190" s="1" t="s">
        <v>41</v>
      </c>
      <c r="J190" s="1">
        <v>7</v>
      </c>
      <c r="L190" s="1" t="s">
        <v>695</v>
      </c>
      <c r="Q190" s="1" t="s">
        <v>46</v>
      </c>
      <c r="R190" s="1" t="s">
        <v>47</v>
      </c>
      <c r="S190" s="1" t="s">
        <v>47</v>
      </c>
      <c r="T190" s="1" t="s">
        <v>48</v>
      </c>
      <c r="U190" s="1" t="s">
        <v>47</v>
      </c>
      <c r="V190" s="1" t="s">
        <v>47</v>
      </c>
      <c r="W190" s="1" t="s">
        <v>47</v>
      </c>
      <c r="Z190" s="1">
        <v>0</v>
      </c>
      <c r="AB190" s="1" t="s">
        <v>47</v>
      </c>
      <c r="AD190" s="1">
        <v>543603</v>
      </c>
      <c r="AF190" s="1" t="s">
        <v>47</v>
      </c>
      <c r="AG190" s="1" t="s">
        <v>47</v>
      </c>
      <c r="AH190" s="1" t="s">
        <v>49</v>
      </c>
      <c r="AI190" s="1" t="s">
        <v>47</v>
      </c>
      <c r="AK190" s="1" t="s">
        <v>48</v>
      </c>
      <c r="AL190" s="1" t="s">
        <v>696</v>
      </c>
    </row>
    <row r="191" spans="1:38">
      <c r="A191" s="1">
        <v>5136892</v>
      </c>
      <c r="B191" s="1" t="s">
        <v>697</v>
      </c>
      <c r="C191" s="1" t="str">
        <f>"9781292025148"</f>
        <v>9781292025148</v>
      </c>
      <c r="D191" s="1" t="str">
        <f>"9781292037738"</f>
        <v>9781292037738</v>
      </c>
      <c r="E191" s="1" t="s">
        <v>52</v>
      </c>
      <c r="F191" s="1" t="s">
        <v>40</v>
      </c>
      <c r="G191" s="3">
        <v>41515</v>
      </c>
      <c r="H191" s="3">
        <v>1</v>
      </c>
      <c r="I191" s="1" t="s">
        <v>41</v>
      </c>
      <c r="J191" s="1">
        <v>8</v>
      </c>
      <c r="L191" s="1" t="s">
        <v>698</v>
      </c>
      <c r="Q191" s="1" t="s">
        <v>46</v>
      </c>
      <c r="R191" s="1" t="s">
        <v>47</v>
      </c>
      <c r="S191" s="1" t="s">
        <v>47</v>
      </c>
      <c r="T191" s="1" t="s">
        <v>48</v>
      </c>
      <c r="U191" s="1" t="s">
        <v>47</v>
      </c>
      <c r="V191" s="1" t="s">
        <v>47</v>
      </c>
      <c r="W191" s="1" t="s">
        <v>47</v>
      </c>
      <c r="Z191" s="1">
        <v>0</v>
      </c>
      <c r="AB191" s="1" t="s">
        <v>47</v>
      </c>
      <c r="AD191" s="1">
        <v>527347</v>
      </c>
      <c r="AF191" s="1" t="s">
        <v>47</v>
      </c>
      <c r="AG191" s="1" t="s">
        <v>47</v>
      </c>
      <c r="AH191" s="1" t="s">
        <v>49</v>
      </c>
      <c r="AI191" s="1" t="s">
        <v>47</v>
      </c>
      <c r="AK191" s="1" t="s">
        <v>48</v>
      </c>
      <c r="AL191" s="1" t="s">
        <v>699</v>
      </c>
    </row>
    <row r="192" spans="1:38">
      <c r="A192" s="1">
        <v>5136893</v>
      </c>
      <c r="B192" s="1" t="s">
        <v>700</v>
      </c>
      <c r="C192" s="1" t="str">
        <f>"9781292027494"</f>
        <v>9781292027494</v>
      </c>
      <c r="D192" s="1" t="str">
        <f>"9781292054117"</f>
        <v>9781292054117</v>
      </c>
      <c r="E192" s="1" t="s">
        <v>52</v>
      </c>
      <c r="F192" s="1" t="s">
        <v>40</v>
      </c>
      <c r="G192" s="3">
        <v>41550</v>
      </c>
      <c r="H192" s="3">
        <v>1</v>
      </c>
      <c r="I192" s="1" t="s">
        <v>41</v>
      </c>
      <c r="J192" s="1">
        <v>14</v>
      </c>
      <c r="L192" s="1" t="s">
        <v>701</v>
      </c>
      <c r="Q192" s="1" t="s">
        <v>46</v>
      </c>
      <c r="R192" s="1" t="s">
        <v>47</v>
      </c>
      <c r="S192" s="1" t="s">
        <v>47</v>
      </c>
      <c r="T192" s="1" t="s">
        <v>48</v>
      </c>
      <c r="U192" s="1" t="s">
        <v>47</v>
      </c>
      <c r="V192" s="1" t="s">
        <v>47</v>
      </c>
      <c r="W192" s="1" t="s">
        <v>47</v>
      </c>
      <c r="Z192" s="1">
        <v>0</v>
      </c>
      <c r="AB192" s="1" t="s">
        <v>47</v>
      </c>
      <c r="AD192" s="1">
        <v>543527</v>
      </c>
      <c r="AF192" s="1" t="s">
        <v>47</v>
      </c>
      <c r="AG192" s="1" t="s">
        <v>47</v>
      </c>
      <c r="AH192" s="1" t="s">
        <v>49</v>
      </c>
      <c r="AI192" s="1" t="s">
        <v>47</v>
      </c>
      <c r="AK192" s="1" t="s">
        <v>48</v>
      </c>
      <c r="AL192" s="1" t="s">
        <v>702</v>
      </c>
    </row>
    <row r="193" spans="1:38">
      <c r="A193" s="1">
        <v>5136895</v>
      </c>
      <c r="B193" s="1" t="s">
        <v>703</v>
      </c>
      <c r="C193" s="1" t="str">
        <f>"9781292022062"</f>
        <v>9781292022062</v>
      </c>
      <c r="D193" s="1" t="str">
        <f>"9781292035277"</f>
        <v>9781292035277</v>
      </c>
      <c r="E193" s="1" t="s">
        <v>52</v>
      </c>
      <c r="F193" s="1" t="s">
        <v>40</v>
      </c>
      <c r="G193" s="3">
        <v>41513</v>
      </c>
      <c r="H193" s="3">
        <v>1</v>
      </c>
      <c r="I193" s="1" t="s">
        <v>41</v>
      </c>
      <c r="J193" s="1">
        <v>10</v>
      </c>
      <c r="L193" s="1" t="s">
        <v>704</v>
      </c>
      <c r="Q193" s="1" t="s">
        <v>46</v>
      </c>
      <c r="R193" s="1" t="s">
        <v>47</v>
      </c>
      <c r="S193" s="1" t="s">
        <v>47</v>
      </c>
      <c r="T193" s="1" t="s">
        <v>48</v>
      </c>
      <c r="U193" s="1" t="s">
        <v>47</v>
      </c>
      <c r="V193" s="1" t="s">
        <v>47</v>
      </c>
      <c r="W193" s="1" t="s">
        <v>47</v>
      </c>
      <c r="Z193" s="1">
        <v>0</v>
      </c>
      <c r="AB193" s="1" t="s">
        <v>47</v>
      </c>
      <c r="AD193" s="1">
        <v>527047</v>
      </c>
      <c r="AF193" s="1" t="s">
        <v>47</v>
      </c>
      <c r="AG193" s="1" t="s">
        <v>47</v>
      </c>
      <c r="AH193" s="1" t="s">
        <v>49</v>
      </c>
      <c r="AI193" s="1" t="s">
        <v>47</v>
      </c>
      <c r="AK193" s="1" t="s">
        <v>48</v>
      </c>
      <c r="AL193" s="1" t="s">
        <v>705</v>
      </c>
    </row>
    <row r="194" spans="1:38">
      <c r="A194" s="1">
        <v>5136896</v>
      </c>
      <c r="B194" s="1" t="s">
        <v>706</v>
      </c>
      <c r="C194" s="1" t="str">
        <f>"9781292023847"</f>
        <v>9781292023847</v>
      </c>
      <c r="D194" s="1" t="str">
        <f>"9781292036977"</f>
        <v>9781292036977</v>
      </c>
      <c r="E194" s="1" t="s">
        <v>52</v>
      </c>
      <c r="F194" s="1" t="s">
        <v>40</v>
      </c>
      <c r="G194" s="3">
        <v>41515</v>
      </c>
      <c r="H194" s="3">
        <v>1</v>
      </c>
      <c r="I194" s="1" t="s">
        <v>41</v>
      </c>
      <c r="J194" s="1">
        <v>10</v>
      </c>
      <c r="L194" s="1" t="s">
        <v>704</v>
      </c>
      <c r="Q194" s="1" t="s">
        <v>46</v>
      </c>
      <c r="R194" s="1" t="s">
        <v>47</v>
      </c>
      <c r="S194" s="1" t="s">
        <v>47</v>
      </c>
      <c r="T194" s="1" t="s">
        <v>48</v>
      </c>
      <c r="U194" s="1" t="s">
        <v>47</v>
      </c>
      <c r="V194" s="1" t="s">
        <v>47</v>
      </c>
      <c r="W194" s="1" t="s">
        <v>47</v>
      </c>
      <c r="Z194" s="1">
        <v>0</v>
      </c>
      <c r="AB194" s="1" t="s">
        <v>47</v>
      </c>
      <c r="AD194" s="1">
        <v>527262</v>
      </c>
      <c r="AF194" s="1" t="s">
        <v>47</v>
      </c>
      <c r="AG194" s="1" t="s">
        <v>47</v>
      </c>
      <c r="AH194" s="1" t="s">
        <v>49</v>
      </c>
      <c r="AI194" s="1" t="s">
        <v>47</v>
      </c>
      <c r="AK194" s="1" t="s">
        <v>48</v>
      </c>
      <c r="AL194" s="1" t="s">
        <v>707</v>
      </c>
    </row>
    <row r="195" spans="1:38">
      <c r="A195" s="1">
        <v>5136900</v>
      </c>
      <c r="B195" s="1" t="s">
        <v>454</v>
      </c>
      <c r="C195" s="1" t="str">
        <f>"9781292021362"</f>
        <v>9781292021362</v>
      </c>
      <c r="D195" s="1" t="str">
        <f>"9781292034591"</f>
        <v>9781292034591</v>
      </c>
      <c r="E195" s="1" t="s">
        <v>52</v>
      </c>
      <c r="F195" s="1" t="s">
        <v>40</v>
      </c>
      <c r="G195" s="3">
        <v>41513</v>
      </c>
      <c r="H195" s="3">
        <v>1</v>
      </c>
      <c r="I195" s="1" t="s">
        <v>41</v>
      </c>
      <c r="J195" s="1">
        <v>2</v>
      </c>
      <c r="L195" s="1" t="s">
        <v>708</v>
      </c>
      <c r="Q195" s="1" t="s">
        <v>46</v>
      </c>
      <c r="R195" s="1" t="s">
        <v>47</v>
      </c>
      <c r="S195" s="1" t="s">
        <v>47</v>
      </c>
      <c r="T195" s="1" t="s">
        <v>48</v>
      </c>
      <c r="U195" s="1" t="s">
        <v>47</v>
      </c>
      <c r="V195" s="1" t="s">
        <v>47</v>
      </c>
      <c r="W195" s="1" t="s">
        <v>47</v>
      </c>
      <c r="Z195" s="1">
        <v>0</v>
      </c>
      <c r="AB195" s="1" t="s">
        <v>47</v>
      </c>
      <c r="AD195" s="1">
        <v>527038</v>
      </c>
      <c r="AF195" s="1" t="s">
        <v>47</v>
      </c>
      <c r="AG195" s="1" t="s">
        <v>47</v>
      </c>
      <c r="AH195" s="1" t="s">
        <v>49</v>
      </c>
      <c r="AI195" s="1" t="s">
        <v>47</v>
      </c>
      <c r="AK195" s="1" t="s">
        <v>48</v>
      </c>
      <c r="AL195" s="1" t="s">
        <v>709</v>
      </c>
    </row>
    <row r="196" spans="1:38">
      <c r="A196" s="1">
        <v>5136902</v>
      </c>
      <c r="B196" s="1" t="s">
        <v>710</v>
      </c>
      <c r="C196" s="1" t="str">
        <f>"9781292024738"</f>
        <v>9781292024738</v>
      </c>
      <c r="D196" s="1" t="str">
        <f>"9781292037417"</f>
        <v>9781292037417</v>
      </c>
      <c r="E196" s="1" t="s">
        <v>52</v>
      </c>
      <c r="F196" s="1" t="s">
        <v>40</v>
      </c>
      <c r="G196" s="3">
        <v>41515</v>
      </c>
      <c r="H196" s="3">
        <v>1</v>
      </c>
      <c r="I196" s="1" t="s">
        <v>41</v>
      </c>
      <c r="J196" s="1">
        <v>6</v>
      </c>
      <c r="L196" s="1" t="s">
        <v>711</v>
      </c>
      <c r="Q196" s="1" t="s">
        <v>46</v>
      </c>
      <c r="R196" s="1" t="s">
        <v>47</v>
      </c>
      <c r="S196" s="1" t="s">
        <v>47</v>
      </c>
      <c r="T196" s="1" t="s">
        <v>48</v>
      </c>
      <c r="U196" s="1" t="s">
        <v>47</v>
      </c>
      <c r="V196" s="1" t="s">
        <v>47</v>
      </c>
      <c r="W196" s="1" t="s">
        <v>47</v>
      </c>
      <c r="Z196" s="1">
        <v>0</v>
      </c>
      <c r="AB196" s="1" t="s">
        <v>47</v>
      </c>
      <c r="AD196" s="1">
        <v>527055</v>
      </c>
      <c r="AF196" s="1" t="s">
        <v>47</v>
      </c>
      <c r="AG196" s="1" t="s">
        <v>47</v>
      </c>
      <c r="AH196" s="1" t="s">
        <v>49</v>
      </c>
      <c r="AI196" s="1" t="s">
        <v>47</v>
      </c>
      <c r="AK196" s="1" t="s">
        <v>48</v>
      </c>
      <c r="AL196" s="1" t="s">
        <v>712</v>
      </c>
    </row>
    <row r="197" spans="1:38">
      <c r="A197" s="1">
        <v>5136904</v>
      </c>
      <c r="B197" s="1" t="s">
        <v>713</v>
      </c>
      <c r="C197" s="1" t="str">
        <f>"9781292022758"</f>
        <v>9781292022758</v>
      </c>
      <c r="D197" s="1" t="str">
        <f>"9781292035956"</f>
        <v>9781292035956</v>
      </c>
      <c r="E197" s="1" t="s">
        <v>52</v>
      </c>
      <c r="F197" s="1" t="s">
        <v>40</v>
      </c>
      <c r="G197" s="3">
        <v>41514</v>
      </c>
      <c r="H197" s="3">
        <v>1</v>
      </c>
      <c r="I197" s="1" t="s">
        <v>41</v>
      </c>
      <c r="J197" s="1">
        <v>11</v>
      </c>
      <c r="L197" s="1" t="s">
        <v>714</v>
      </c>
      <c r="Q197" s="1" t="s">
        <v>46</v>
      </c>
      <c r="R197" s="1" t="s">
        <v>47</v>
      </c>
      <c r="S197" s="1" t="s">
        <v>47</v>
      </c>
      <c r="T197" s="1" t="s">
        <v>48</v>
      </c>
      <c r="U197" s="1" t="s">
        <v>47</v>
      </c>
      <c r="V197" s="1" t="s">
        <v>47</v>
      </c>
      <c r="W197" s="1" t="s">
        <v>47</v>
      </c>
      <c r="Z197" s="1">
        <v>0</v>
      </c>
      <c r="AB197" s="1" t="s">
        <v>47</v>
      </c>
      <c r="AD197" s="1">
        <v>527290</v>
      </c>
      <c r="AF197" s="1" t="s">
        <v>47</v>
      </c>
      <c r="AG197" s="1" t="s">
        <v>47</v>
      </c>
      <c r="AH197" s="1" t="s">
        <v>49</v>
      </c>
      <c r="AI197" s="1" t="s">
        <v>47</v>
      </c>
      <c r="AK197" s="1" t="s">
        <v>48</v>
      </c>
      <c r="AL197" s="1" t="s">
        <v>715</v>
      </c>
    </row>
    <row r="198" spans="1:38">
      <c r="A198" s="1">
        <v>5136905</v>
      </c>
      <c r="B198" s="1" t="s">
        <v>716</v>
      </c>
      <c r="C198" s="1" t="str">
        <f>"9781292027715"</f>
        <v>9781292027715</v>
      </c>
      <c r="D198" s="1" t="str">
        <f>"9781292054223"</f>
        <v>9781292054223</v>
      </c>
      <c r="E198" s="1" t="s">
        <v>52</v>
      </c>
      <c r="F198" s="1" t="s">
        <v>40</v>
      </c>
      <c r="G198" s="3">
        <v>41579</v>
      </c>
      <c r="H198" s="3">
        <v>1</v>
      </c>
      <c r="I198" s="1" t="s">
        <v>41</v>
      </c>
      <c r="J198" s="1">
        <v>5</v>
      </c>
      <c r="L198" s="1" t="s">
        <v>717</v>
      </c>
      <c r="M198" s="1" t="s">
        <v>718</v>
      </c>
      <c r="O198" s="1">
        <v>940.53</v>
      </c>
      <c r="Q198" s="1" t="s">
        <v>46</v>
      </c>
      <c r="R198" s="1" t="s">
        <v>47</v>
      </c>
      <c r="S198" s="1" t="s">
        <v>47</v>
      </c>
      <c r="T198" s="1" t="s">
        <v>48</v>
      </c>
      <c r="U198" s="1" t="s">
        <v>47</v>
      </c>
      <c r="V198" s="1" t="s">
        <v>47</v>
      </c>
      <c r="W198" s="1" t="s">
        <v>47</v>
      </c>
      <c r="Z198" s="1">
        <v>0</v>
      </c>
      <c r="AB198" s="1" t="s">
        <v>47</v>
      </c>
      <c r="AD198" s="1">
        <v>543512</v>
      </c>
      <c r="AF198" s="1" t="s">
        <v>47</v>
      </c>
      <c r="AG198" s="1" t="s">
        <v>47</v>
      </c>
      <c r="AH198" s="1" t="s">
        <v>49</v>
      </c>
      <c r="AI198" s="1" t="s">
        <v>47</v>
      </c>
      <c r="AK198" s="1" t="s">
        <v>48</v>
      </c>
      <c r="AL198" s="1" t="s">
        <v>719</v>
      </c>
    </row>
    <row r="199" spans="1:38">
      <c r="A199" s="1">
        <v>5136906</v>
      </c>
      <c r="B199" s="1" t="s">
        <v>720</v>
      </c>
      <c r="C199" s="1" t="str">
        <f>"9781408266700"</f>
        <v>9781408266700</v>
      </c>
      <c r="D199" s="1" t="str">
        <f>"9781408266724"</f>
        <v>9781408266724</v>
      </c>
      <c r="E199" s="1" t="s">
        <v>52</v>
      </c>
      <c r="F199" s="1" t="s">
        <v>195</v>
      </c>
      <c r="G199" s="3">
        <v>40919</v>
      </c>
      <c r="H199" s="3">
        <v>1</v>
      </c>
      <c r="I199" s="1" t="s">
        <v>41</v>
      </c>
      <c r="J199" s="1">
        <v>1</v>
      </c>
      <c r="L199" s="1" t="s">
        <v>721</v>
      </c>
      <c r="Q199" s="1" t="s">
        <v>46</v>
      </c>
      <c r="R199" s="1" t="s">
        <v>47</v>
      </c>
      <c r="S199" s="1" t="s">
        <v>47</v>
      </c>
      <c r="T199" s="1" t="s">
        <v>48</v>
      </c>
      <c r="U199" s="1" t="s">
        <v>47</v>
      </c>
      <c r="V199" s="1" t="s">
        <v>47</v>
      </c>
      <c r="W199" s="1" t="s">
        <v>47</v>
      </c>
      <c r="Z199" s="1">
        <v>0</v>
      </c>
      <c r="AB199" s="1" t="s">
        <v>47</v>
      </c>
      <c r="AD199" s="1">
        <v>369129</v>
      </c>
      <c r="AF199" s="1" t="s">
        <v>47</v>
      </c>
      <c r="AG199" s="1" t="s">
        <v>47</v>
      </c>
      <c r="AH199" s="1" t="s">
        <v>49</v>
      </c>
      <c r="AI199" s="1" t="s">
        <v>47</v>
      </c>
      <c r="AK199" s="1" t="s">
        <v>48</v>
      </c>
      <c r="AL199" s="1" t="s">
        <v>722</v>
      </c>
    </row>
    <row r="200" spans="1:38">
      <c r="A200" s="1">
        <v>5136909</v>
      </c>
      <c r="B200" s="1" t="s">
        <v>723</v>
      </c>
      <c r="C200" s="1" t="str">
        <f>"9781292020242"</f>
        <v>9781292020242</v>
      </c>
      <c r="D200" s="1" t="str">
        <f>"9781292033624"</f>
        <v>9781292033624</v>
      </c>
      <c r="E200" s="1" t="s">
        <v>52</v>
      </c>
      <c r="F200" s="1" t="s">
        <v>40</v>
      </c>
      <c r="G200" s="3">
        <v>41513</v>
      </c>
      <c r="H200" s="3">
        <v>1</v>
      </c>
      <c r="I200" s="1" t="s">
        <v>41</v>
      </c>
      <c r="J200" s="1">
        <v>14</v>
      </c>
      <c r="L200" s="1" t="s">
        <v>724</v>
      </c>
      <c r="Q200" s="1" t="s">
        <v>46</v>
      </c>
      <c r="R200" s="1" t="s">
        <v>47</v>
      </c>
      <c r="S200" s="1" t="s">
        <v>47</v>
      </c>
      <c r="T200" s="1" t="s">
        <v>48</v>
      </c>
      <c r="U200" s="1" t="s">
        <v>47</v>
      </c>
      <c r="V200" s="1" t="s">
        <v>47</v>
      </c>
      <c r="W200" s="1" t="s">
        <v>47</v>
      </c>
      <c r="Z200" s="1">
        <v>0</v>
      </c>
      <c r="AB200" s="1" t="s">
        <v>47</v>
      </c>
      <c r="AD200" s="1">
        <v>527226</v>
      </c>
      <c r="AF200" s="1" t="s">
        <v>47</v>
      </c>
      <c r="AG200" s="1" t="s">
        <v>47</v>
      </c>
      <c r="AH200" s="1" t="s">
        <v>49</v>
      </c>
      <c r="AI200" s="1" t="s">
        <v>47</v>
      </c>
      <c r="AK200" s="1" t="s">
        <v>48</v>
      </c>
      <c r="AL200" s="1" t="s">
        <v>725</v>
      </c>
    </row>
    <row r="201" spans="1:38">
      <c r="A201" s="1">
        <v>5136910</v>
      </c>
      <c r="B201" s="1" t="s">
        <v>726</v>
      </c>
      <c r="C201" s="1" t="str">
        <f>"9780273722908"</f>
        <v>9780273722908</v>
      </c>
      <c r="D201" s="1" t="str">
        <f>"9780273722946"</f>
        <v>9780273722946</v>
      </c>
      <c r="E201" s="1" t="s">
        <v>52</v>
      </c>
      <c r="F201" s="1" t="s">
        <v>157</v>
      </c>
      <c r="G201" s="3">
        <v>40553</v>
      </c>
      <c r="H201" s="3">
        <v>1</v>
      </c>
      <c r="I201" s="1" t="s">
        <v>41</v>
      </c>
      <c r="J201" s="1">
        <v>2</v>
      </c>
      <c r="L201" s="1" t="s">
        <v>727</v>
      </c>
      <c r="M201" s="1" t="s">
        <v>100</v>
      </c>
      <c r="N201" s="1" t="s">
        <v>728</v>
      </c>
      <c r="O201" s="1">
        <v>155.19999999999999</v>
      </c>
      <c r="Q201" s="1" t="s">
        <v>46</v>
      </c>
      <c r="R201" s="1" t="s">
        <v>47</v>
      </c>
      <c r="S201" s="1" t="s">
        <v>47</v>
      </c>
      <c r="T201" s="1" t="s">
        <v>48</v>
      </c>
      <c r="U201" s="1" t="s">
        <v>47</v>
      </c>
      <c r="V201" s="1" t="s">
        <v>47</v>
      </c>
      <c r="W201" s="1" t="s">
        <v>47</v>
      </c>
      <c r="Z201" s="1">
        <v>0</v>
      </c>
      <c r="AB201" s="1" t="s">
        <v>47</v>
      </c>
      <c r="AD201" s="1">
        <v>252980</v>
      </c>
      <c r="AF201" s="1" t="s">
        <v>47</v>
      </c>
      <c r="AG201" s="1" t="s">
        <v>47</v>
      </c>
      <c r="AH201" s="1" t="s">
        <v>49</v>
      </c>
      <c r="AI201" s="1" t="s">
        <v>47</v>
      </c>
      <c r="AK201" s="1" t="s">
        <v>48</v>
      </c>
      <c r="AL201" s="1" t="s">
        <v>729</v>
      </c>
    </row>
    <row r="202" spans="1:38">
      <c r="A202" s="1">
        <v>5136912</v>
      </c>
      <c r="B202" s="1" t="s">
        <v>730</v>
      </c>
      <c r="C202" s="1" t="str">
        <f>"9781292026497"</f>
        <v>9781292026497</v>
      </c>
      <c r="D202" s="1" t="str">
        <f>"9781292038889"</f>
        <v>9781292038889</v>
      </c>
      <c r="E202" s="1" t="s">
        <v>52</v>
      </c>
      <c r="F202" s="1" t="s">
        <v>40</v>
      </c>
      <c r="G202" s="3">
        <v>41515</v>
      </c>
      <c r="H202" s="3">
        <v>1</v>
      </c>
      <c r="I202" s="1" t="s">
        <v>41</v>
      </c>
      <c r="J202" s="1">
        <v>9</v>
      </c>
      <c r="L202" s="1" t="s">
        <v>731</v>
      </c>
      <c r="Q202" s="1" t="s">
        <v>46</v>
      </c>
      <c r="R202" s="1" t="s">
        <v>47</v>
      </c>
      <c r="S202" s="1" t="s">
        <v>47</v>
      </c>
      <c r="T202" s="1" t="s">
        <v>48</v>
      </c>
      <c r="U202" s="1" t="s">
        <v>47</v>
      </c>
      <c r="V202" s="1" t="s">
        <v>47</v>
      </c>
      <c r="W202" s="1" t="s">
        <v>47</v>
      </c>
      <c r="Z202" s="1">
        <v>0</v>
      </c>
      <c r="AB202" s="1" t="s">
        <v>47</v>
      </c>
      <c r="AD202" s="1">
        <v>527179</v>
      </c>
      <c r="AF202" s="1" t="s">
        <v>47</v>
      </c>
      <c r="AG202" s="1" t="s">
        <v>47</v>
      </c>
      <c r="AH202" s="1" t="s">
        <v>49</v>
      </c>
      <c r="AI202" s="1" t="s">
        <v>47</v>
      </c>
      <c r="AK202" s="1" t="s">
        <v>48</v>
      </c>
      <c r="AL202" s="1" t="s">
        <v>732</v>
      </c>
    </row>
    <row r="203" spans="1:38">
      <c r="A203" s="1">
        <v>5136913</v>
      </c>
      <c r="B203" s="1" t="s">
        <v>733</v>
      </c>
      <c r="C203" s="1" t="str">
        <f>"9781292020822"</f>
        <v>9781292020822</v>
      </c>
      <c r="D203" s="1" t="str">
        <f>"9781292034072"</f>
        <v>9781292034072</v>
      </c>
      <c r="E203" s="1" t="s">
        <v>52</v>
      </c>
      <c r="F203" s="1" t="s">
        <v>40</v>
      </c>
      <c r="G203" s="3">
        <v>41513</v>
      </c>
      <c r="H203" s="3">
        <v>1</v>
      </c>
      <c r="I203" s="1" t="s">
        <v>41</v>
      </c>
      <c r="J203" s="1">
        <v>3</v>
      </c>
      <c r="L203" s="1" t="s">
        <v>734</v>
      </c>
      <c r="Q203" s="1" t="s">
        <v>46</v>
      </c>
      <c r="R203" s="1" t="s">
        <v>47</v>
      </c>
      <c r="S203" s="1" t="s">
        <v>47</v>
      </c>
      <c r="T203" s="1" t="s">
        <v>48</v>
      </c>
      <c r="U203" s="1" t="s">
        <v>47</v>
      </c>
      <c r="V203" s="1" t="s">
        <v>47</v>
      </c>
      <c r="W203" s="1" t="s">
        <v>47</v>
      </c>
      <c r="Z203" s="1">
        <v>0</v>
      </c>
      <c r="AB203" s="1" t="s">
        <v>47</v>
      </c>
      <c r="AD203" s="1">
        <v>526957</v>
      </c>
      <c r="AF203" s="1" t="s">
        <v>47</v>
      </c>
      <c r="AG203" s="1" t="s">
        <v>47</v>
      </c>
      <c r="AH203" s="1" t="s">
        <v>49</v>
      </c>
      <c r="AI203" s="1" t="s">
        <v>47</v>
      </c>
      <c r="AK203" s="1" t="s">
        <v>48</v>
      </c>
      <c r="AL203" s="1" t="s">
        <v>735</v>
      </c>
    </row>
    <row r="204" spans="1:38">
      <c r="A204" s="1">
        <v>5136914</v>
      </c>
      <c r="B204" s="1" t="s">
        <v>736</v>
      </c>
      <c r="C204" s="1" t="str">
        <f>"9781292025292"</f>
        <v>9781292025292</v>
      </c>
      <c r="D204" s="1" t="str">
        <f>"9781292037851"</f>
        <v>9781292037851</v>
      </c>
      <c r="E204" s="1" t="s">
        <v>52</v>
      </c>
      <c r="F204" s="1" t="s">
        <v>40</v>
      </c>
      <c r="G204" s="3">
        <v>41484</v>
      </c>
      <c r="H204" s="3">
        <v>1</v>
      </c>
      <c r="I204" s="1" t="s">
        <v>41</v>
      </c>
      <c r="J204" s="1">
        <v>9</v>
      </c>
      <c r="L204" s="1" t="s">
        <v>737</v>
      </c>
      <c r="M204" s="1" t="s">
        <v>100</v>
      </c>
      <c r="O204" s="1">
        <v>153.85</v>
      </c>
      <c r="Q204" s="1" t="s">
        <v>46</v>
      </c>
      <c r="R204" s="1" t="s">
        <v>47</v>
      </c>
      <c r="S204" s="1" t="s">
        <v>47</v>
      </c>
      <c r="T204" s="1" t="s">
        <v>48</v>
      </c>
      <c r="U204" s="1" t="s">
        <v>47</v>
      </c>
      <c r="V204" s="1" t="s">
        <v>47</v>
      </c>
      <c r="W204" s="1" t="s">
        <v>47</v>
      </c>
      <c r="Z204" s="1">
        <v>0</v>
      </c>
      <c r="AB204" s="1" t="s">
        <v>47</v>
      </c>
      <c r="AD204" s="1">
        <v>527373</v>
      </c>
      <c r="AF204" s="1" t="s">
        <v>47</v>
      </c>
      <c r="AG204" s="1" t="s">
        <v>47</v>
      </c>
      <c r="AH204" s="1" t="s">
        <v>49</v>
      </c>
      <c r="AI204" s="1" t="s">
        <v>47</v>
      </c>
      <c r="AK204" s="1" t="s">
        <v>48</v>
      </c>
      <c r="AL204" s="1" t="s">
        <v>738</v>
      </c>
    </row>
    <row r="205" spans="1:38">
      <c r="A205" s="1">
        <v>5136916</v>
      </c>
      <c r="B205" s="1" t="s">
        <v>739</v>
      </c>
      <c r="C205" s="1" t="str">
        <f>"9781292026480"</f>
        <v>9781292026480</v>
      </c>
      <c r="D205" s="1" t="str">
        <f>"9781292038872"</f>
        <v>9781292038872</v>
      </c>
      <c r="E205" s="1" t="s">
        <v>52</v>
      </c>
      <c r="F205" s="1" t="s">
        <v>40</v>
      </c>
      <c r="G205" s="3">
        <v>41515</v>
      </c>
      <c r="H205" s="3">
        <v>1</v>
      </c>
      <c r="I205" s="1" t="s">
        <v>41</v>
      </c>
      <c r="J205" s="1">
        <v>9</v>
      </c>
      <c r="L205" s="1" t="s">
        <v>740</v>
      </c>
      <c r="Q205" s="1" t="s">
        <v>46</v>
      </c>
      <c r="R205" s="1" t="s">
        <v>47</v>
      </c>
      <c r="S205" s="1" t="s">
        <v>47</v>
      </c>
      <c r="T205" s="1" t="s">
        <v>48</v>
      </c>
      <c r="U205" s="1" t="s">
        <v>47</v>
      </c>
      <c r="V205" s="1" t="s">
        <v>47</v>
      </c>
      <c r="W205" s="1" t="s">
        <v>47</v>
      </c>
      <c r="Z205" s="1">
        <v>0</v>
      </c>
      <c r="AB205" s="1" t="s">
        <v>47</v>
      </c>
      <c r="AD205" s="1">
        <v>527159</v>
      </c>
      <c r="AF205" s="1" t="s">
        <v>47</v>
      </c>
      <c r="AG205" s="1" t="s">
        <v>47</v>
      </c>
      <c r="AH205" s="1" t="s">
        <v>49</v>
      </c>
      <c r="AI205" s="1" t="s">
        <v>47</v>
      </c>
      <c r="AK205" s="1" t="s">
        <v>48</v>
      </c>
      <c r="AL205" s="1" t="s">
        <v>741</v>
      </c>
    </row>
    <row r="206" spans="1:38">
      <c r="A206" s="1">
        <v>5136917</v>
      </c>
      <c r="B206" s="1" t="s">
        <v>742</v>
      </c>
      <c r="C206" s="1" t="str">
        <f>"9781292026459"</f>
        <v>9781292026459</v>
      </c>
      <c r="D206" s="1" t="str">
        <f>"9781292038841"</f>
        <v>9781292038841</v>
      </c>
      <c r="E206" s="1" t="s">
        <v>52</v>
      </c>
      <c r="F206" s="1" t="s">
        <v>40</v>
      </c>
      <c r="G206" s="3">
        <v>41515</v>
      </c>
      <c r="H206" s="3">
        <v>1</v>
      </c>
      <c r="I206" s="1" t="s">
        <v>41</v>
      </c>
      <c r="J206" s="1">
        <v>1</v>
      </c>
      <c r="L206" s="1" t="s">
        <v>743</v>
      </c>
      <c r="Q206" s="1" t="s">
        <v>46</v>
      </c>
      <c r="R206" s="1" t="s">
        <v>47</v>
      </c>
      <c r="S206" s="1" t="s">
        <v>47</v>
      </c>
      <c r="T206" s="1" t="s">
        <v>48</v>
      </c>
      <c r="U206" s="1" t="s">
        <v>47</v>
      </c>
      <c r="V206" s="1" t="s">
        <v>47</v>
      </c>
      <c r="W206" s="1" t="s">
        <v>47</v>
      </c>
      <c r="Z206" s="1">
        <v>0</v>
      </c>
      <c r="AB206" s="1" t="s">
        <v>47</v>
      </c>
      <c r="AD206" s="1">
        <v>527077</v>
      </c>
      <c r="AF206" s="1" t="s">
        <v>47</v>
      </c>
      <c r="AG206" s="1" t="s">
        <v>47</v>
      </c>
      <c r="AH206" s="1" t="s">
        <v>49</v>
      </c>
      <c r="AI206" s="1" t="s">
        <v>47</v>
      </c>
      <c r="AK206" s="1" t="s">
        <v>48</v>
      </c>
      <c r="AL206" s="1" t="s">
        <v>744</v>
      </c>
    </row>
    <row r="207" spans="1:38">
      <c r="A207" s="1">
        <v>5136918</v>
      </c>
      <c r="B207" s="1" t="s">
        <v>745</v>
      </c>
      <c r="C207" s="1" t="str">
        <f>"9781292021607"</f>
        <v>9781292021607</v>
      </c>
      <c r="D207" s="1" t="str">
        <f>"9781292034836"</f>
        <v>9781292034836</v>
      </c>
      <c r="E207" s="1" t="s">
        <v>52</v>
      </c>
      <c r="F207" s="1" t="s">
        <v>40</v>
      </c>
      <c r="G207" s="3">
        <v>41513</v>
      </c>
      <c r="H207" s="3">
        <v>1</v>
      </c>
      <c r="I207" s="1" t="s">
        <v>41</v>
      </c>
      <c r="J207" s="1">
        <v>7</v>
      </c>
      <c r="L207" s="1" t="s">
        <v>746</v>
      </c>
      <c r="Q207" s="1" t="s">
        <v>46</v>
      </c>
      <c r="R207" s="1" t="s">
        <v>47</v>
      </c>
      <c r="S207" s="1" t="s">
        <v>47</v>
      </c>
      <c r="T207" s="1" t="s">
        <v>48</v>
      </c>
      <c r="U207" s="1" t="s">
        <v>47</v>
      </c>
      <c r="V207" s="1" t="s">
        <v>47</v>
      </c>
      <c r="W207" s="1" t="s">
        <v>47</v>
      </c>
      <c r="Z207" s="1">
        <v>0</v>
      </c>
      <c r="AB207" s="1" t="s">
        <v>47</v>
      </c>
      <c r="AD207" s="1">
        <v>527220</v>
      </c>
      <c r="AF207" s="1" t="s">
        <v>47</v>
      </c>
      <c r="AG207" s="1" t="s">
        <v>47</v>
      </c>
      <c r="AH207" s="1" t="s">
        <v>49</v>
      </c>
      <c r="AI207" s="1" t="s">
        <v>47</v>
      </c>
      <c r="AK207" s="1" t="s">
        <v>48</v>
      </c>
      <c r="AL207" s="1" t="s">
        <v>747</v>
      </c>
    </row>
    <row r="208" spans="1:38">
      <c r="A208" s="1">
        <v>5136919</v>
      </c>
      <c r="B208" s="1" t="s">
        <v>748</v>
      </c>
      <c r="C208" s="1" t="str">
        <f>"9781292022741"</f>
        <v>9781292022741</v>
      </c>
      <c r="D208" s="1" t="str">
        <f>"9781292035949"</f>
        <v>9781292035949</v>
      </c>
      <c r="E208" s="1" t="s">
        <v>52</v>
      </c>
      <c r="F208" s="1" t="s">
        <v>40</v>
      </c>
      <c r="G208" s="3">
        <v>41514</v>
      </c>
      <c r="H208" s="3">
        <v>1</v>
      </c>
      <c r="I208" s="1" t="s">
        <v>41</v>
      </c>
      <c r="J208" s="1">
        <v>7</v>
      </c>
      <c r="L208" s="1" t="s">
        <v>749</v>
      </c>
      <c r="Q208" s="1" t="s">
        <v>46</v>
      </c>
      <c r="R208" s="1" t="s">
        <v>47</v>
      </c>
      <c r="S208" s="1" t="s">
        <v>47</v>
      </c>
      <c r="T208" s="1" t="s">
        <v>48</v>
      </c>
      <c r="U208" s="1" t="s">
        <v>47</v>
      </c>
      <c r="V208" s="1" t="s">
        <v>47</v>
      </c>
      <c r="W208" s="1" t="s">
        <v>47</v>
      </c>
      <c r="Z208" s="1">
        <v>0</v>
      </c>
      <c r="AB208" s="1" t="s">
        <v>47</v>
      </c>
      <c r="AD208" s="1">
        <v>527404</v>
      </c>
      <c r="AF208" s="1" t="s">
        <v>47</v>
      </c>
      <c r="AG208" s="1" t="s">
        <v>47</v>
      </c>
      <c r="AH208" s="1" t="s">
        <v>49</v>
      </c>
      <c r="AI208" s="1" t="s">
        <v>47</v>
      </c>
      <c r="AK208" s="1" t="s">
        <v>48</v>
      </c>
      <c r="AL208" s="1" t="s">
        <v>750</v>
      </c>
    </row>
    <row r="209" spans="1:38">
      <c r="A209" s="1">
        <v>5136920</v>
      </c>
      <c r="B209" s="1" t="s">
        <v>751</v>
      </c>
      <c r="C209" s="1" t="str">
        <f>"9780273687740"</f>
        <v>9780273687740</v>
      </c>
      <c r="D209" s="1" t="str">
        <f>"9781408212615"</f>
        <v>9781408212615</v>
      </c>
      <c r="E209" s="1" t="s">
        <v>52</v>
      </c>
      <c r="F209" s="1" t="s">
        <v>67</v>
      </c>
      <c r="G209" s="3">
        <v>39045</v>
      </c>
      <c r="H209" s="3">
        <v>1</v>
      </c>
      <c r="I209" s="1" t="s">
        <v>41</v>
      </c>
      <c r="J209" s="1">
        <v>1</v>
      </c>
      <c r="L209" s="1" t="s">
        <v>752</v>
      </c>
      <c r="M209" s="1" t="s">
        <v>372</v>
      </c>
      <c r="N209" s="1" t="s">
        <v>753</v>
      </c>
      <c r="O209" s="1" t="s">
        <v>754</v>
      </c>
      <c r="Q209" s="1" t="s">
        <v>46</v>
      </c>
      <c r="R209" s="1" t="s">
        <v>47</v>
      </c>
      <c r="S209" s="1" t="s">
        <v>47</v>
      </c>
      <c r="T209" s="1" t="s">
        <v>48</v>
      </c>
      <c r="U209" s="1" t="s">
        <v>47</v>
      </c>
      <c r="V209" s="1" t="s">
        <v>47</v>
      </c>
      <c r="W209" s="1" t="s">
        <v>47</v>
      </c>
      <c r="Z209" s="1">
        <v>0</v>
      </c>
      <c r="AB209" s="1" t="s">
        <v>47</v>
      </c>
      <c r="AD209" s="1">
        <v>177097</v>
      </c>
      <c r="AF209" s="1" t="s">
        <v>47</v>
      </c>
      <c r="AG209" s="1" t="s">
        <v>47</v>
      </c>
      <c r="AH209" s="1" t="s">
        <v>49</v>
      </c>
      <c r="AI209" s="1" t="s">
        <v>47</v>
      </c>
      <c r="AK209" s="1" t="s">
        <v>48</v>
      </c>
      <c r="AL209" s="1" t="s">
        <v>755</v>
      </c>
    </row>
    <row r="210" spans="1:38">
      <c r="A210" s="1">
        <v>5136921</v>
      </c>
      <c r="B210" s="1" t="s">
        <v>756</v>
      </c>
      <c r="C210" s="1" t="str">
        <f>"9781408218808"</f>
        <v>9781408218808</v>
      </c>
      <c r="D210" s="1" t="str">
        <f>"9781408218822"</f>
        <v>9781408218822</v>
      </c>
      <c r="E210" s="1" t="s">
        <v>52</v>
      </c>
      <c r="F210" s="1" t="s">
        <v>195</v>
      </c>
      <c r="G210" s="3">
        <v>40344</v>
      </c>
      <c r="H210" s="3">
        <v>1</v>
      </c>
      <c r="I210" s="1" t="s">
        <v>41</v>
      </c>
      <c r="J210" s="1">
        <v>2</v>
      </c>
      <c r="L210" s="1" t="s">
        <v>757</v>
      </c>
      <c r="M210" s="1" t="s">
        <v>162</v>
      </c>
      <c r="N210" s="1" t="s">
        <v>758</v>
      </c>
      <c r="O210" s="1">
        <v>340.07114200000001</v>
      </c>
      <c r="Q210" s="1" t="s">
        <v>46</v>
      </c>
      <c r="R210" s="1" t="s">
        <v>47</v>
      </c>
      <c r="S210" s="1" t="s">
        <v>47</v>
      </c>
      <c r="T210" s="1" t="s">
        <v>48</v>
      </c>
      <c r="U210" s="1" t="s">
        <v>47</v>
      </c>
      <c r="V210" s="1" t="s">
        <v>47</v>
      </c>
      <c r="W210" s="1" t="s">
        <v>47</v>
      </c>
      <c r="Z210" s="1">
        <v>0</v>
      </c>
      <c r="AB210" s="1" t="s">
        <v>47</v>
      </c>
      <c r="AD210" s="1">
        <v>264555</v>
      </c>
      <c r="AF210" s="1" t="s">
        <v>47</v>
      </c>
      <c r="AG210" s="1" t="s">
        <v>47</v>
      </c>
      <c r="AH210" s="1" t="s">
        <v>49</v>
      </c>
      <c r="AI210" s="1" t="s">
        <v>47</v>
      </c>
      <c r="AK210" s="1" t="s">
        <v>48</v>
      </c>
      <c r="AL210" s="1" t="s">
        <v>759</v>
      </c>
    </row>
    <row r="211" spans="1:38">
      <c r="A211" s="1">
        <v>5136924</v>
      </c>
      <c r="B211" s="1" t="s">
        <v>760</v>
      </c>
      <c r="C211" s="1" t="str">
        <f>"9781292027944"</f>
        <v>9781292027944</v>
      </c>
      <c r="D211" s="1" t="str">
        <f>"9781292054391"</f>
        <v>9781292054391</v>
      </c>
      <c r="E211" s="1" t="s">
        <v>52</v>
      </c>
      <c r="F211" s="1" t="s">
        <v>40</v>
      </c>
      <c r="G211" s="3">
        <v>41579</v>
      </c>
      <c r="H211" s="3">
        <v>1</v>
      </c>
      <c r="I211" s="1" t="s">
        <v>41</v>
      </c>
      <c r="J211" s="1">
        <v>2</v>
      </c>
      <c r="L211" s="1" t="s">
        <v>761</v>
      </c>
      <c r="M211" s="1" t="s">
        <v>482</v>
      </c>
      <c r="O211" s="1">
        <v>616.15</v>
      </c>
      <c r="Q211" s="1" t="s">
        <v>46</v>
      </c>
      <c r="R211" s="1" t="s">
        <v>47</v>
      </c>
      <c r="S211" s="1" t="s">
        <v>47</v>
      </c>
      <c r="T211" s="1" t="s">
        <v>48</v>
      </c>
      <c r="U211" s="1" t="s">
        <v>47</v>
      </c>
      <c r="V211" s="1" t="s">
        <v>47</v>
      </c>
      <c r="W211" s="1" t="s">
        <v>47</v>
      </c>
      <c r="Z211" s="1">
        <v>0</v>
      </c>
      <c r="AB211" s="1" t="s">
        <v>47</v>
      </c>
      <c r="AD211" s="1">
        <v>543625</v>
      </c>
      <c r="AF211" s="1" t="s">
        <v>47</v>
      </c>
      <c r="AG211" s="1" t="s">
        <v>47</v>
      </c>
      <c r="AH211" s="1" t="s">
        <v>49</v>
      </c>
      <c r="AI211" s="1" t="s">
        <v>47</v>
      </c>
      <c r="AK211" s="1" t="s">
        <v>48</v>
      </c>
      <c r="AL211" s="1" t="s">
        <v>762</v>
      </c>
    </row>
    <row r="212" spans="1:38">
      <c r="A212" s="1">
        <v>5136927</v>
      </c>
      <c r="B212" s="1" t="s">
        <v>412</v>
      </c>
      <c r="C212" s="1" t="str">
        <f>"9781292025025"</f>
        <v>9781292025025</v>
      </c>
      <c r="D212" s="1" t="str">
        <f>"9781292037653"</f>
        <v>9781292037653</v>
      </c>
      <c r="E212" s="1" t="s">
        <v>52</v>
      </c>
      <c r="F212" s="1" t="s">
        <v>40</v>
      </c>
      <c r="G212" s="3">
        <v>41515</v>
      </c>
      <c r="H212" s="3">
        <v>1</v>
      </c>
      <c r="I212" s="1" t="s">
        <v>41</v>
      </c>
      <c r="J212" s="1">
        <v>6</v>
      </c>
      <c r="L212" s="1" t="s">
        <v>763</v>
      </c>
      <c r="Q212" s="1" t="s">
        <v>46</v>
      </c>
      <c r="R212" s="1" t="s">
        <v>47</v>
      </c>
      <c r="S212" s="1" t="s">
        <v>47</v>
      </c>
      <c r="T212" s="1" t="s">
        <v>48</v>
      </c>
      <c r="U212" s="1" t="s">
        <v>47</v>
      </c>
      <c r="V212" s="1" t="s">
        <v>47</v>
      </c>
      <c r="W212" s="1" t="s">
        <v>47</v>
      </c>
      <c r="Z212" s="1">
        <v>0</v>
      </c>
      <c r="AB212" s="1" t="s">
        <v>47</v>
      </c>
      <c r="AD212" s="1">
        <v>527064</v>
      </c>
      <c r="AF212" s="1" t="s">
        <v>47</v>
      </c>
      <c r="AG212" s="1" t="s">
        <v>47</v>
      </c>
      <c r="AH212" s="1" t="s">
        <v>49</v>
      </c>
      <c r="AI212" s="1" t="s">
        <v>47</v>
      </c>
      <c r="AK212" s="1" t="s">
        <v>48</v>
      </c>
      <c r="AL212" s="1" t="s">
        <v>764</v>
      </c>
    </row>
    <row r="213" spans="1:38">
      <c r="A213" s="1">
        <v>5136932</v>
      </c>
      <c r="B213" s="1" t="s">
        <v>765</v>
      </c>
      <c r="C213" s="1" t="str">
        <f>""</f>
        <v/>
      </c>
      <c r="D213" s="1" t="str">
        <f>"9781447930358"</f>
        <v>9781447930358</v>
      </c>
      <c r="E213" s="1" t="s">
        <v>52</v>
      </c>
      <c r="F213" s="1" t="s">
        <v>365</v>
      </c>
      <c r="G213" s="3">
        <v>41584</v>
      </c>
      <c r="H213" s="3">
        <v>1</v>
      </c>
      <c r="I213" s="1" t="s">
        <v>41</v>
      </c>
      <c r="J213" s="1">
        <v>7</v>
      </c>
      <c r="L213" s="1" t="s">
        <v>766</v>
      </c>
      <c r="Q213" s="1" t="s">
        <v>46</v>
      </c>
      <c r="R213" s="1" t="s">
        <v>47</v>
      </c>
      <c r="S213" s="1" t="s">
        <v>47</v>
      </c>
      <c r="T213" s="1" t="s">
        <v>48</v>
      </c>
      <c r="U213" s="1" t="s">
        <v>47</v>
      </c>
      <c r="V213" s="1" t="s">
        <v>47</v>
      </c>
      <c r="W213" s="1" t="s">
        <v>47</v>
      </c>
      <c r="Z213" s="1">
        <v>0</v>
      </c>
      <c r="AB213" s="1" t="s">
        <v>47</v>
      </c>
      <c r="AD213" s="1">
        <v>531209</v>
      </c>
      <c r="AF213" s="1" t="s">
        <v>47</v>
      </c>
      <c r="AG213" s="1" t="s">
        <v>47</v>
      </c>
      <c r="AH213" s="1" t="s">
        <v>49</v>
      </c>
      <c r="AI213" s="1" t="s">
        <v>47</v>
      </c>
      <c r="AK213" s="1" t="s">
        <v>48</v>
      </c>
      <c r="AL213" s="1" t="s">
        <v>767</v>
      </c>
    </row>
    <row r="214" spans="1:38">
      <c r="A214" s="1">
        <v>5136935</v>
      </c>
      <c r="B214" s="1" t="s">
        <v>768</v>
      </c>
      <c r="C214" s="1" t="str">
        <f>"9780273783756"</f>
        <v>9780273783756</v>
      </c>
      <c r="D214" s="1" t="str">
        <f>"9780273783770"</f>
        <v>9780273783770</v>
      </c>
      <c r="E214" s="1" t="s">
        <v>52</v>
      </c>
      <c r="F214" s="1" t="s">
        <v>40</v>
      </c>
      <c r="G214" s="3">
        <v>41407</v>
      </c>
      <c r="H214" s="3">
        <v>1</v>
      </c>
      <c r="I214" s="1" t="s">
        <v>41</v>
      </c>
      <c r="J214" s="1">
        <v>2</v>
      </c>
      <c r="L214" s="1" t="s">
        <v>769</v>
      </c>
      <c r="Q214" s="1" t="s">
        <v>46</v>
      </c>
      <c r="R214" s="1" t="s">
        <v>47</v>
      </c>
      <c r="S214" s="1" t="s">
        <v>47</v>
      </c>
      <c r="T214" s="1" t="s">
        <v>48</v>
      </c>
      <c r="U214" s="1" t="s">
        <v>47</v>
      </c>
      <c r="V214" s="1" t="s">
        <v>47</v>
      </c>
      <c r="W214" s="1" t="s">
        <v>47</v>
      </c>
      <c r="Z214" s="1">
        <v>0</v>
      </c>
      <c r="AB214" s="1" t="s">
        <v>47</v>
      </c>
      <c r="AD214" s="1">
        <v>492441</v>
      </c>
      <c r="AF214" s="1" t="s">
        <v>47</v>
      </c>
      <c r="AG214" s="1" t="s">
        <v>47</v>
      </c>
      <c r="AH214" s="1" t="s">
        <v>49</v>
      </c>
      <c r="AI214" s="1" t="s">
        <v>47</v>
      </c>
      <c r="AK214" s="1" t="s">
        <v>48</v>
      </c>
      <c r="AL214" s="1" t="s">
        <v>770</v>
      </c>
    </row>
    <row r="215" spans="1:38">
      <c r="A215" s="1">
        <v>5136938</v>
      </c>
      <c r="B215" s="1" t="s">
        <v>771</v>
      </c>
      <c r="C215" s="1" t="str">
        <f>"9780273752929"</f>
        <v>9780273752929</v>
      </c>
      <c r="D215" s="1" t="str">
        <f>"9781447930228"</f>
        <v>9781447930228</v>
      </c>
      <c r="E215" s="1" t="s">
        <v>52</v>
      </c>
      <c r="F215" s="1" t="s">
        <v>365</v>
      </c>
      <c r="G215" s="3">
        <v>41584</v>
      </c>
      <c r="H215" s="3">
        <v>1</v>
      </c>
      <c r="I215" s="1" t="s">
        <v>41</v>
      </c>
      <c r="J215" s="1">
        <v>9</v>
      </c>
      <c r="L215" s="1" t="s">
        <v>772</v>
      </c>
      <c r="Q215" s="1" t="s">
        <v>46</v>
      </c>
      <c r="R215" s="1" t="s">
        <v>47</v>
      </c>
      <c r="S215" s="1" t="s">
        <v>47</v>
      </c>
      <c r="T215" s="1" t="s">
        <v>48</v>
      </c>
      <c r="U215" s="1" t="s">
        <v>47</v>
      </c>
      <c r="V215" s="1" t="s">
        <v>47</v>
      </c>
      <c r="W215" s="1" t="s">
        <v>47</v>
      </c>
      <c r="Z215" s="1">
        <v>0</v>
      </c>
      <c r="AB215" s="1" t="s">
        <v>47</v>
      </c>
      <c r="AD215" s="1">
        <v>531211</v>
      </c>
      <c r="AF215" s="1" t="s">
        <v>47</v>
      </c>
      <c r="AG215" s="1" t="s">
        <v>47</v>
      </c>
      <c r="AH215" s="1" t="s">
        <v>49</v>
      </c>
      <c r="AI215" s="1" t="s">
        <v>47</v>
      </c>
      <c r="AK215" s="1" t="s">
        <v>48</v>
      </c>
      <c r="AL215" s="1" t="s">
        <v>773</v>
      </c>
    </row>
    <row r="216" spans="1:38">
      <c r="A216" s="1">
        <v>5136939</v>
      </c>
      <c r="B216" s="1" t="s">
        <v>774</v>
      </c>
      <c r="C216" s="1" t="str">
        <f>"9781292024646"</f>
        <v>9781292024646</v>
      </c>
      <c r="D216" s="1" t="str">
        <f>"9781292037332"</f>
        <v>9781292037332</v>
      </c>
      <c r="E216" s="1" t="s">
        <v>52</v>
      </c>
      <c r="F216" s="1" t="s">
        <v>40</v>
      </c>
      <c r="G216" s="3">
        <v>41579</v>
      </c>
      <c r="H216" s="3">
        <v>1</v>
      </c>
      <c r="I216" s="1" t="s">
        <v>41</v>
      </c>
      <c r="J216" s="1">
        <v>12</v>
      </c>
      <c r="L216" s="1" t="s">
        <v>775</v>
      </c>
      <c r="Q216" s="1" t="s">
        <v>46</v>
      </c>
      <c r="R216" s="1" t="s">
        <v>47</v>
      </c>
      <c r="S216" s="1" t="s">
        <v>47</v>
      </c>
      <c r="T216" s="1" t="s">
        <v>48</v>
      </c>
      <c r="U216" s="1" t="s">
        <v>47</v>
      </c>
      <c r="V216" s="1" t="s">
        <v>47</v>
      </c>
      <c r="W216" s="1" t="s">
        <v>47</v>
      </c>
      <c r="Z216" s="1">
        <v>0</v>
      </c>
      <c r="AB216" s="1" t="s">
        <v>47</v>
      </c>
      <c r="AD216" s="1">
        <v>527101</v>
      </c>
      <c r="AF216" s="1" t="s">
        <v>47</v>
      </c>
      <c r="AG216" s="1" t="s">
        <v>47</v>
      </c>
      <c r="AH216" s="1" t="s">
        <v>49</v>
      </c>
      <c r="AI216" s="1" t="s">
        <v>47</v>
      </c>
      <c r="AK216" s="1" t="s">
        <v>48</v>
      </c>
      <c r="AL216" s="1" t="s">
        <v>776</v>
      </c>
    </row>
    <row r="217" spans="1:38">
      <c r="A217" s="1">
        <v>5136940</v>
      </c>
      <c r="B217" s="1" t="s">
        <v>777</v>
      </c>
      <c r="C217" s="1" t="str">
        <f>"9780273735199"</f>
        <v>9780273735199</v>
      </c>
      <c r="D217" s="1" t="str">
        <f>"9780273735205"</f>
        <v>9780273735205</v>
      </c>
      <c r="E217" s="1" t="s">
        <v>52</v>
      </c>
      <c r="F217" s="1" t="s">
        <v>40</v>
      </c>
      <c r="G217" s="3">
        <v>41039</v>
      </c>
      <c r="H217" s="3">
        <v>1</v>
      </c>
      <c r="I217" s="1" t="s">
        <v>41</v>
      </c>
      <c r="J217" s="1">
        <v>3</v>
      </c>
      <c r="L217" s="1" t="s">
        <v>778</v>
      </c>
      <c r="M217" s="1" t="s">
        <v>482</v>
      </c>
      <c r="N217" s="1" t="s">
        <v>779</v>
      </c>
      <c r="O217" s="1">
        <v>616.00189999999998</v>
      </c>
      <c r="P217" s="1" t="s">
        <v>780</v>
      </c>
      <c r="Q217" s="1" t="s">
        <v>46</v>
      </c>
      <c r="R217" s="1" t="s">
        <v>47</v>
      </c>
      <c r="S217" s="1" t="s">
        <v>47</v>
      </c>
      <c r="T217" s="1" t="s">
        <v>48</v>
      </c>
      <c r="U217" s="1" t="s">
        <v>47</v>
      </c>
      <c r="V217" s="1" t="s">
        <v>47</v>
      </c>
      <c r="W217" s="1" t="s">
        <v>47</v>
      </c>
      <c r="Z217" s="1">
        <v>0</v>
      </c>
      <c r="AB217" s="1" t="s">
        <v>47</v>
      </c>
      <c r="AD217" s="1">
        <v>390407</v>
      </c>
      <c r="AF217" s="1" t="s">
        <v>47</v>
      </c>
      <c r="AG217" s="1" t="s">
        <v>47</v>
      </c>
      <c r="AH217" s="1" t="s">
        <v>49</v>
      </c>
      <c r="AI217" s="1" t="s">
        <v>47</v>
      </c>
      <c r="AK217" s="1" t="s">
        <v>48</v>
      </c>
      <c r="AL217" s="1" t="s">
        <v>781</v>
      </c>
    </row>
    <row r="218" spans="1:38">
      <c r="A218" s="1">
        <v>5136945</v>
      </c>
      <c r="B218" s="1" t="s">
        <v>782</v>
      </c>
      <c r="C218" s="1" t="str">
        <f>"9781292022369"</f>
        <v>9781292022369</v>
      </c>
      <c r="D218" s="1" t="str">
        <f>"9781292035567"</f>
        <v>9781292035567</v>
      </c>
      <c r="E218" s="1" t="s">
        <v>52</v>
      </c>
      <c r="F218" s="1" t="s">
        <v>40</v>
      </c>
      <c r="G218" s="3">
        <v>41579</v>
      </c>
      <c r="H218" s="3">
        <v>1</v>
      </c>
      <c r="I218" s="1" t="s">
        <v>41</v>
      </c>
      <c r="J218" s="1">
        <v>6</v>
      </c>
      <c r="L218" s="1" t="s">
        <v>783</v>
      </c>
      <c r="Q218" s="1" t="s">
        <v>46</v>
      </c>
      <c r="R218" s="1" t="s">
        <v>47</v>
      </c>
      <c r="S218" s="1" t="s">
        <v>47</v>
      </c>
      <c r="T218" s="1" t="s">
        <v>48</v>
      </c>
      <c r="U218" s="1" t="s">
        <v>47</v>
      </c>
      <c r="V218" s="1" t="s">
        <v>47</v>
      </c>
      <c r="W218" s="1" t="s">
        <v>47</v>
      </c>
      <c r="Z218" s="1">
        <v>0</v>
      </c>
      <c r="AB218" s="1" t="s">
        <v>47</v>
      </c>
      <c r="AD218" s="1">
        <v>527274</v>
      </c>
      <c r="AF218" s="1" t="s">
        <v>47</v>
      </c>
      <c r="AG218" s="1" t="s">
        <v>47</v>
      </c>
      <c r="AH218" s="1" t="s">
        <v>49</v>
      </c>
      <c r="AI218" s="1" t="s">
        <v>47</v>
      </c>
      <c r="AK218" s="1" t="s">
        <v>48</v>
      </c>
      <c r="AL218" s="1" t="s">
        <v>784</v>
      </c>
    </row>
    <row r="219" spans="1:38">
      <c r="A219" s="1">
        <v>5136946</v>
      </c>
      <c r="B219" s="1" t="s">
        <v>785</v>
      </c>
      <c r="C219" s="1" t="str">
        <f>"9781292021690"</f>
        <v>9781292021690</v>
      </c>
      <c r="D219" s="1" t="str">
        <f>"9781292034928"</f>
        <v>9781292034928</v>
      </c>
      <c r="E219" s="1" t="s">
        <v>52</v>
      </c>
      <c r="F219" s="1" t="s">
        <v>40</v>
      </c>
      <c r="G219" s="3">
        <v>41513</v>
      </c>
      <c r="H219" s="3">
        <v>1</v>
      </c>
      <c r="I219" s="1" t="s">
        <v>41</v>
      </c>
      <c r="J219" s="1">
        <v>10</v>
      </c>
      <c r="L219" s="1" t="s">
        <v>786</v>
      </c>
      <c r="Q219" s="1" t="s">
        <v>46</v>
      </c>
      <c r="R219" s="1" t="s">
        <v>47</v>
      </c>
      <c r="S219" s="1" t="s">
        <v>47</v>
      </c>
      <c r="T219" s="1" t="s">
        <v>48</v>
      </c>
      <c r="U219" s="1" t="s">
        <v>47</v>
      </c>
      <c r="V219" s="1" t="s">
        <v>47</v>
      </c>
      <c r="W219" s="1" t="s">
        <v>47</v>
      </c>
      <c r="Z219" s="1">
        <v>0</v>
      </c>
      <c r="AB219" s="1" t="s">
        <v>47</v>
      </c>
      <c r="AD219" s="1">
        <v>527004</v>
      </c>
      <c r="AF219" s="1" t="s">
        <v>47</v>
      </c>
      <c r="AG219" s="1" t="s">
        <v>47</v>
      </c>
      <c r="AH219" s="1" t="s">
        <v>49</v>
      </c>
      <c r="AI219" s="1" t="s">
        <v>47</v>
      </c>
      <c r="AK219" s="1" t="s">
        <v>48</v>
      </c>
      <c r="AL219" s="1" t="s">
        <v>787</v>
      </c>
    </row>
    <row r="220" spans="1:38">
      <c r="A220" s="1">
        <v>5136947</v>
      </c>
      <c r="B220" s="1" t="s">
        <v>788</v>
      </c>
      <c r="C220" s="1" t="str">
        <f>"9780273721703"</f>
        <v>9780273721703</v>
      </c>
      <c r="D220" s="1" t="str">
        <f>"9780273727378"</f>
        <v>9780273727378</v>
      </c>
      <c r="E220" s="1" t="s">
        <v>52</v>
      </c>
      <c r="F220" s="1" t="s">
        <v>195</v>
      </c>
      <c r="G220" s="3">
        <v>39989</v>
      </c>
      <c r="H220" s="3">
        <v>1</v>
      </c>
      <c r="I220" s="1" t="s">
        <v>41</v>
      </c>
      <c r="J220" s="1">
        <v>1</v>
      </c>
      <c r="L220" s="1" t="s">
        <v>789</v>
      </c>
      <c r="M220" s="1" t="s">
        <v>790</v>
      </c>
      <c r="N220" s="1" t="s">
        <v>791</v>
      </c>
      <c r="O220" s="1">
        <v>808.06637799999999</v>
      </c>
      <c r="P220" s="1" t="s">
        <v>792</v>
      </c>
      <c r="Q220" s="1" t="s">
        <v>46</v>
      </c>
      <c r="R220" s="1" t="s">
        <v>47</v>
      </c>
      <c r="S220" s="1" t="s">
        <v>47</v>
      </c>
      <c r="T220" s="1" t="s">
        <v>48</v>
      </c>
      <c r="U220" s="1" t="s">
        <v>47</v>
      </c>
      <c r="V220" s="1" t="s">
        <v>47</v>
      </c>
      <c r="W220" s="1" t="s">
        <v>47</v>
      </c>
      <c r="Z220" s="1">
        <v>0</v>
      </c>
      <c r="AB220" s="1" t="s">
        <v>47</v>
      </c>
      <c r="AD220" s="1">
        <v>253014</v>
      </c>
      <c r="AF220" s="1" t="s">
        <v>47</v>
      </c>
      <c r="AG220" s="1" t="s">
        <v>47</v>
      </c>
      <c r="AH220" s="1" t="s">
        <v>49</v>
      </c>
      <c r="AI220" s="1" t="s">
        <v>47</v>
      </c>
      <c r="AK220" s="1" t="s">
        <v>48</v>
      </c>
      <c r="AL220" s="1" t="s">
        <v>793</v>
      </c>
    </row>
    <row r="221" spans="1:38">
      <c r="A221" s="1">
        <v>5136949</v>
      </c>
      <c r="B221" s="1" t="s">
        <v>794</v>
      </c>
      <c r="C221" s="1" t="str">
        <f>"9781292020747"</f>
        <v>9781292020747</v>
      </c>
      <c r="D221" s="1" t="str">
        <f>"9781292033990"</f>
        <v>9781292033990</v>
      </c>
      <c r="E221" s="1" t="s">
        <v>52</v>
      </c>
      <c r="F221" s="1" t="s">
        <v>40</v>
      </c>
      <c r="G221" s="3">
        <v>41513</v>
      </c>
      <c r="H221" s="3">
        <v>1</v>
      </c>
      <c r="I221" s="1" t="s">
        <v>41</v>
      </c>
      <c r="J221" s="1">
        <v>6</v>
      </c>
      <c r="L221" s="1" t="s">
        <v>795</v>
      </c>
      <c r="Q221" s="1" t="s">
        <v>46</v>
      </c>
      <c r="R221" s="1" t="s">
        <v>47</v>
      </c>
      <c r="S221" s="1" t="s">
        <v>47</v>
      </c>
      <c r="T221" s="1" t="s">
        <v>48</v>
      </c>
      <c r="U221" s="1" t="s">
        <v>47</v>
      </c>
      <c r="V221" s="1" t="s">
        <v>47</v>
      </c>
      <c r="W221" s="1" t="s">
        <v>47</v>
      </c>
      <c r="Z221" s="1">
        <v>0</v>
      </c>
      <c r="AB221" s="1" t="s">
        <v>47</v>
      </c>
      <c r="AD221" s="1">
        <v>526947</v>
      </c>
      <c r="AF221" s="1" t="s">
        <v>47</v>
      </c>
      <c r="AG221" s="1" t="s">
        <v>47</v>
      </c>
      <c r="AH221" s="1" t="s">
        <v>49</v>
      </c>
      <c r="AI221" s="1" t="s">
        <v>47</v>
      </c>
      <c r="AK221" s="1" t="s">
        <v>48</v>
      </c>
      <c r="AL221" s="1" t="s">
        <v>796</v>
      </c>
    </row>
    <row r="222" spans="1:38">
      <c r="A222" s="1">
        <v>5136952</v>
      </c>
      <c r="B222" s="1" t="s">
        <v>797</v>
      </c>
      <c r="C222" s="1" t="str">
        <f>"9781292041216"</f>
        <v>9781292041216</v>
      </c>
      <c r="D222" s="1" t="str">
        <f>"9781292054650"</f>
        <v>9781292054650</v>
      </c>
      <c r="E222" s="1" t="s">
        <v>52</v>
      </c>
      <c r="F222" s="1" t="s">
        <v>40</v>
      </c>
      <c r="G222" s="3">
        <v>41550</v>
      </c>
      <c r="H222" s="3">
        <v>1</v>
      </c>
      <c r="I222" s="1" t="s">
        <v>41</v>
      </c>
      <c r="J222" s="1">
        <v>3</v>
      </c>
      <c r="L222" s="1" t="s">
        <v>798</v>
      </c>
      <c r="Q222" s="1" t="s">
        <v>46</v>
      </c>
      <c r="R222" s="1" t="s">
        <v>47</v>
      </c>
      <c r="S222" s="1" t="s">
        <v>47</v>
      </c>
      <c r="T222" s="1" t="s">
        <v>48</v>
      </c>
      <c r="U222" s="1" t="s">
        <v>47</v>
      </c>
      <c r="V222" s="1" t="s">
        <v>47</v>
      </c>
      <c r="W222" s="1" t="s">
        <v>47</v>
      </c>
      <c r="Z222" s="1">
        <v>0</v>
      </c>
      <c r="AB222" s="1" t="s">
        <v>47</v>
      </c>
      <c r="AD222" s="1">
        <v>543423</v>
      </c>
      <c r="AF222" s="1" t="s">
        <v>47</v>
      </c>
      <c r="AG222" s="1" t="s">
        <v>47</v>
      </c>
      <c r="AH222" s="1" t="s">
        <v>49</v>
      </c>
      <c r="AI222" s="1" t="s">
        <v>47</v>
      </c>
      <c r="AK222" s="1" t="s">
        <v>48</v>
      </c>
      <c r="AL222" s="1" t="s">
        <v>799</v>
      </c>
    </row>
    <row r="223" spans="1:38">
      <c r="A223" s="1">
        <v>5136954</v>
      </c>
      <c r="B223" s="1" t="s">
        <v>800</v>
      </c>
      <c r="C223" s="1" t="str">
        <f>"9781292026961"</f>
        <v>9781292026961</v>
      </c>
      <c r="D223" s="1" t="str">
        <f>"9781292054681"</f>
        <v>9781292054681</v>
      </c>
      <c r="E223" s="1" t="s">
        <v>52</v>
      </c>
      <c r="F223" s="1" t="s">
        <v>40</v>
      </c>
      <c r="G223" s="3">
        <v>41579</v>
      </c>
      <c r="H223" s="3">
        <v>1</v>
      </c>
      <c r="I223" s="1" t="s">
        <v>41</v>
      </c>
      <c r="J223" s="1">
        <v>5</v>
      </c>
      <c r="L223" s="1" t="s">
        <v>801</v>
      </c>
      <c r="M223" s="1" t="s">
        <v>256</v>
      </c>
      <c r="N223" s="1" t="s">
        <v>802</v>
      </c>
      <c r="O223" s="1">
        <v>337</v>
      </c>
      <c r="Q223" s="1" t="s">
        <v>46</v>
      </c>
      <c r="R223" s="1" t="s">
        <v>47</v>
      </c>
      <c r="S223" s="1" t="s">
        <v>47</v>
      </c>
      <c r="T223" s="1" t="s">
        <v>48</v>
      </c>
      <c r="U223" s="1" t="s">
        <v>47</v>
      </c>
      <c r="V223" s="1" t="s">
        <v>47</v>
      </c>
      <c r="W223" s="1" t="s">
        <v>47</v>
      </c>
      <c r="Z223" s="1">
        <v>0</v>
      </c>
      <c r="AB223" s="1" t="s">
        <v>47</v>
      </c>
      <c r="AD223" s="1">
        <v>543449</v>
      </c>
      <c r="AF223" s="1" t="s">
        <v>47</v>
      </c>
      <c r="AG223" s="1" t="s">
        <v>47</v>
      </c>
      <c r="AH223" s="1" t="s">
        <v>49</v>
      </c>
      <c r="AI223" s="1" t="s">
        <v>47</v>
      </c>
      <c r="AK223" s="1" t="s">
        <v>48</v>
      </c>
      <c r="AL223" s="1" t="s">
        <v>803</v>
      </c>
    </row>
    <row r="224" spans="1:38">
      <c r="A224" s="1">
        <v>5136955</v>
      </c>
      <c r="B224" s="1" t="s">
        <v>804</v>
      </c>
      <c r="C224" s="1" t="str">
        <f>"9781292021560"</f>
        <v>9781292021560</v>
      </c>
      <c r="D224" s="1" t="str">
        <f>"9781292034799"</f>
        <v>9781292034799</v>
      </c>
      <c r="E224" s="1" t="s">
        <v>52</v>
      </c>
      <c r="F224" s="1" t="s">
        <v>40</v>
      </c>
      <c r="G224" s="3">
        <v>41513</v>
      </c>
      <c r="H224" s="3">
        <v>1</v>
      </c>
      <c r="I224" s="1" t="s">
        <v>41</v>
      </c>
      <c r="J224" s="1">
        <v>7</v>
      </c>
      <c r="L224" s="1" t="s">
        <v>805</v>
      </c>
      <c r="Q224" s="1" t="s">
        <v>46</v>
      </c>
      <c r="R224" s="1" t="s">
        <v>47</v>
      </c>
      <c r="S224" s="1" t="s">
        <v>47</v>
      </c>
      <c r="T224" s="1" t="s">
        <v>48</v>
      </c>
      <c r="U224" s="1" t="s">
        <v>47</v>
      </c>
      <c r="V224" s="1" t="s">
        <v>47</v>
      </c>
      <c r="W224" s="1" t="s">
        <v>47</v>
      </c>
      <c r="Z224" s="1">
        <v>0</v>
      </c>
      <c r="AB224" s="1" t="s">
        <v>47</v>
      </c>
      <c r="AD224" s="1">
        <v>527026</v>
      </c>
      <c r="AF224" s="1" t="s">
        <v>47</v>
      </c>
      <c r="AG224" s="1" t="s">
        <v>47</v>
      </c>
      <c r="AH224" s="1" t="s">
        <v>49</v>
      </c>
      <c r="AI224" s="1" t="s">
        <v>47</v>
      </c>
      <c r="AK224" s="1" t="s">
        <v>48</v>
      </c>
      <c r="AL224" s="1" t="s">
        <v>806</v>
      </c>
    </row>
    <row r="225" spans="1:38">
      <c r="A225" s="1">
        <v>5136957</v>
      </c>
      <c r="B225" s="1" t="s">
        <v>807</v>
      </c>
      <c r="C225" s="1" t="str">
        <f>"9781292023144"</f>
        <v>9781292023144</v>
      </c>
      <c r="D225" s="1" t="str">
        <f>"9781292036328"</f>
        <v>9781292036328</v>
      </c>
      <c r="E225" s="1" t="s">
        <v>52</v>
      </c>
      <c r="F225" s="1" t="s">
        <v>40</v>
      </c>
      <c r="G225" s="3">
        <v>41514</v>
      </c>
      <c r="H225" s="3">
        <v>1</v>
      </c>
      <c r="I225" s="1" t="s">
        <v>41</v>
      </c>
      <c r="J225" s="1">
        <v>6</v>
      </c>
      <c r="L225" s="1" t="s">
        <v>808</v>
      </c>
      <c r="M225" s="1" t="s">
        <v>100</v>
      </c>
      <c r="O225" s="1">
        <v>153.15</v>
      </c>
      <c r="Q225" s="1" t="s">
        <v>46</v>
      </c>
      <c r="R225" s="1" t="s">
        <v>47</v>
      </c>
      <c r="S225" s="1" t="s">
        <v>47</v>
      </c>
      <c r="T225" s="1" t="s">
        <v>48</v>
      </c>
      <c r="U225" s="1" t="s">
        <v>47</v>
      </c>
      <c r="V225" s="1" t="s">
        <v>47</v>
      </c>
      <c r="W225" s="1" t="s">
        <v>47</v>
      </c>
      <c r="Z225" s="1">
        <v>0</v>
      </c>
      <c r="AB225" s="1" t="s">
        <v>47</v>
      </c>
      <c r="AD225" s="1">
        <v>527053</v>
      </c>
      <c r="AF225" s="1" t="s">
        <v>47</v>
      </c>
      <c r="AG225" s="1" t="s">
        <v>47</v>
      </c>
      <c r="AH225" s="1" t="s">
        <v>49</v>
      </c>
      <c r="AI225" s="1" t="s">
        <v>47</v>
      </c>
      <c r="AK225" s="1" t="s">
        <v>48</v>
      </c>
      <c r="AL225" s="1" t="s">
        <v>809</v>
      </c>
    </row>
    <row r="226" spans="1:38">
      <c r="A226" s="1">
        <v>5136958</v>
      </c>
      <c r="B226" s="1" t="s">
        <v>810</v>
      </c>
      <c r="C226" s="1" t="str">
        <f>"9781292021225"</f>
        <v>9781292021225</v>
      </c>
      <c r="D226" s="1" t="str">
        <f>"9781292034454"</f>
        <v>9781292034454</v>
      </c>
      <c r="E226" s="1" t="s">
        <v>52</v>
      </c>
      <c r="F226" s="1" t="s">
        <v>40</v>
      </c>
      <c r="G226" s="3">
        <v>41513</v>
      </c>
      <c r="H226" s="3">
        <v>1</v>
      </c>
      <c r="I226" s="1" t="s">
        <v>41</v>
      </c>
      <c r="J226" s="1">
        <v>8</v>
      </c>
      <c r="L226" s="1" t="s">
        <v>811</v>
      </c>
      <c r="Q226" s="1" t="s">
        <v>46</v>
      </c>
      <c r="R226" s="1" t="s">
        <v>47</v>
      </c>
      <c r="S226" s="1" t="s">
        <v>47</v>
      </c>
      <c r="T226" s="1" t="s">
        <v>48</v>
      </c>
      <c r="U226" s="1" t="s">
        <v>47</v>
      </c>
      <c r="V226" s="1" t="s">
        <v>47</v>
      </c>
      <c r="W226" s="1" t="s">
        <v>47</v>
      </c>
      <c r="Z226" s="1">
        <v>0</v>
      </c>
      <c r="AB226" s="1" t="s">
        <v>47</v>
      </c>
      <c r="AD226" s="1">
        <v>527325</v>
      </c>
      <c r="AF226" s="1" t="s">
        <v>47</v>
      </c>
      <c r="AG226" s="1" t="s">
        <v>47</v>
      </c>
      <c r="AH226" s="1" t="s">
        <v>49</v>
      </c>
      <c r="AI226" s="1" t="s">
        <v>47</v>
      </c>
      <c r="AK226" s="1" t="s">
        <v>48</v>
      </c>
      <c r="AL226" s="1" t="s">
        <v>812</v>
      </c>
    </row>
    <row r="227" spans="1:38">
      <c r="A227" s="1">
        <v>5136959</v>
      </c>
      <c r="B227" s="1" t="s">
        <v>813</v>
      </c>
      <c r="C227" s="1" t="str">
        <f>"9781292025186"</f>
        <v>9781292025186</v>
      </c>
      <c r="D227" s="1" t="str">
        <f>"9781292037776"</f>
        <v>9781292037776</v>
      </c>
      <c r="E227" s="1" t="s">
        <v>52</v>
      </c>
      <c r="F227" s="1" t="s">
        <v>40</v>
      </c>
      <c r="G227" s="3">
        <v>41515</v>
      </c>
      <c r="H227" s="3">
        <v>1</v>
      </c>
      <c r="I227" s="1" t="s">
        <v>41</v>
      </c>
      <c r="J227" s="1">
        <v>4</v>
      </c>
      <c r="L227" s="1" t="s">
        <v>814</v>
      </c>
      <c r="Q227" s="1" t="s">
        <v>46</v>
      </c>
      <c r="R227" s="1" t="s">
        <v>47</v>
      </c>
      <c r="S227" s="1" t="s">
        <v>47</v>
      </c>
      <c r="T227" s="1" t="s">
        <v>48</v>
      </c>
      <c r="U227" s="1" t="s">
        <v>47</v>
      </c>
      <c r="V227" s="1" t="s">
        <v>47</v>
      </c>
      <c r="W227" s="1" t="s">
        <v>47</v>
      </c>
      <c r="Z227" s="1">
        <v>0</v>
      </c>
      <c r="AB227" s="1" t="s">
        <v>47</v>
      </c>
      <c r="AD227" s="1">
        <v>527353</v>
      </c>
      <c r="AF227" s="1" t="s">
        <v>47</v>
      </c>
      <c r="AG227" s="1" t="s">
        <v>47</v>
      </c>
      <c r="AH227" s="1" t="s">
        <v>49</v>
      </c>
      <c r="AI227" s="1" t="s">
        <v>47</v>
      </c>
      <c r="AK227" s="1" t="s">
        <v>48</v>
      </c>
      <c r="AL227" s="1" t="s">
        <v>815</v>
      </c>
    </row>
    <row r="228" spans="1:38">
      <c r="A228" s="1">
        <v>5136961</v>
      </c>
      <c r="B228" s="1" t="s">
        <v>816</v>
      </c>
      <c r="C228" s="1" t="str">
        <f>"9781292039633"</f>
        <v>9781292039633</v>
      </c>
      <c r="D228" s="1" t="str">
        <f>"9781292056111"</f>
        <v>9781292056111</v>
      </c>
      <c r="E228" s="1" t="s">
        <v>52</v>
      </c>
      <c r="F228" s="1" t="s">
        <v>40</v>
      </c>
      <c r="G228" s="3">
        <v>41550</v>
      </c>
      <c r="H228" s="3">
        <v>1</v>
      </c>
      <c r="I228" s="1" t="s">
        <v>41</v>
      </c>
      <c r="J228" s="1">
        <v>3</v>
      </c>
      <c r="L228" s="1" t="s">
        <v>817</v>
      </c>
      <c r="Q228" s="1" t="s">
        <v>46</v>
      </c>
      <c r="R228" s="1" t="s">
        <v>47</v>
      </c>
      <c r="S228" s="1" t="s">
        <v>47</v>
      </c>
      <c r="T228" s="1" t="s">
        <v>48</v>
      </c>
      <c r="U228" s="1" t="s">
        <v>47</v>
      </c>
      <c r="V228" s="1" t="s">
        <v>47</v>
      </c>
      <c r="W228" s="1" t="s">
        <v>47</v>
      </c>
      <c r="Z228" s="1">
        <v>0</v>
      </c>
      <c r="AB228" s="1" t="s">
        <v>47</v>
      </c>
      <c r="AD228" s="1">
        <v>543492</v>
      </c>
      <c r="AF228" s="1" t="s">
        <v>47</v>
      </c>
      <c r="AG228" s="1" t="s">
        <v>47</v>
      </c>
      <c r="AH228" s="1" t="s">
        <v>49</v>
      </c>
      <c r="AI228" s="1" t="s">
        <v>47</v>
      </c>
      <c r="AK228" s="1" t="s">
        <v>48</v>
      </c>
      <c r="AL228" s="1" t="s">
        <v>818</v>
      </c>
    </row>
    <row r="229" spans="1:38">
      <c r="A229" s="1">
        <v>5136963</v>
      </c>
      <c r="B229" s="1" t="s">
        <v>819</v>
      </c>
      <c r="C229" s="1" t="str">
        <f>"9781292025803"</f>
        <v>9781292025803</v>
      </c>
      <c r="D229" s="1" t="str">
        <f>"9781292038223"</f>
        <v>9781292038223</v>
      </c>
      <c r="E229" s="1" t="s">
        <v>52</v>
      </c>
      <c r="F229" s="1" t="s">
        <v>40</v>
      </c>
      <c r="G229" s="3">
        <v>41515</v>
      </c>
      <c r="H229" s="3">
        <v>1</v>
      </c>
      <c r="I229" s="1" t="s">
        <v>41</v>
      </c>
      <c r="J229" s="1">
        <v>5</v>
      </c>
      <c r="L229" s="1" t="s">
        <v>820</v>
      </c>
      <c r="Q229" s="1" t="s">
        <v>46</v>
      </c>
      <c r="R229" s="1" t="s">
        <v>47</v>
      </c>
      <c r="S229" s="1" t="s">
        <v>47</v>
      </c>
      <c r="T229" s="1" t="s">
        <v>48</v>
      </c>
      <c r="U229" s="1" t="s">
        <v>47</v>
      </c>
      <c r="V229" s="1" t="s">
        <v>47</v>
      </c>
      <c r="W229" s="1" t="s">
        <v>47</v>
      </c>
      <c r="Z229" s="1">
        <v>0</v>
      </c>
      <c r="AB229" s="1" t="s">
        <v>47</v>
      </c>
      <c r="AD229" s="1">
        <v>527200</v>
      </c>
      <c r="AF229" s="1" t="s">
        <v>47</v>
      </c>
      <c r="AG229" s="1" t="s">
        <v>47</v>
      </c>
      <c r="AH229" s="1" t="s">
        <v>49</v>
      </c>
      <c r="AI229" s="1" t="s">
        <v>47</v>
      </c>
      <c r="AK229" s="1" t="s">
        <v>48</v>
      </c>
      <c r="AL229" s="1" t="s">
        <v>821</v>
      </c>
    </row>
    <row r="230" spans="1:38">
      <c r="A230" s="1">
        <v>5136965</v>
      </c>
      <c r="B230" s="1" t="s">
        <v>822</v>
      </c>
      <c r="C230" s="1" t="str">
        <f>""</f>
        <v/>
      </c>
      <c r="D230" s="1" t="str">
        <f>"9780273791331"</f>
        <v>9780273791331</v>
      </c>
      <c r="E230" s="1" t="s">
        <v>52</v>
      </c>
      <c r="F230" s="1" t="s">
        <v>40</v>
      </c>
      <c r="G230" s="3">
        <v>41584</v>
      </c>
      <c r="H230" s="3">
        <v>1</v>
      </c>
      <c r="I230" s="1" t="s">
        <v>41</v>
      </c>
      <c r="J230" s="1">
        <v>11</v>
      </c>
      <c r="L230" s="1" t="s">
        <v>823</v>
      </c>
      <c r="Q230" s="1" t="s">
        <v>46</v>
      </c>
      <c r="R230" s="1" t="s">
        <v>47</v>
      </c>
      <c r="S230" s="1" t="s">
        <v>47</v>
      </c>
      <c r="T230" s="1" t="s">
        <v>48</v>
      </c>
      <c r="U230" s="1" t="s">
        <v>47</v>
      </c>
      <c r="V230" s="1" t="s">
        <v>47</v>
      </c>
      <c r="W230" s="1" t="s">
        <v>47</v>
      </c>
      <c r="Z230" s="1">
        <v>0</v>
      </c>
      <c r="AB230" s="1" t="s">
        <v>47</v>
      </c>
      <c r="AD230" s="1">
        <v>527663</v>
      </c>
      <c r="AF230" s="1" t="s">
        <v>47</v>
      </c>
      <c r="AG230" s="1" t="s">
        <v>47</v>
      </c>
      <c r="AH230" s="1" t="s">
        <v>49</v>
      </c>
      <c r="AI230" s="1" t="s">
        <v>47</v>
      </c>
      <c r="AK230" s="1" t="s">
        <v>48</v>
      </c>
      <c r="AL230" s="1" t="s">
        <v>824</v>
      </c>
    </row>
    <row r="231" spans="1:38">
      <c r="A231" s="1">
        <v>5136966</v>
      </c>
      <c r="B231" s="1" t="s">
        <v>825</v>
      </c>
      <c r="C231" s="1" t="str">
        <f>""</f>
        <v/>
      </c>
      <c r="D231" s="1" t="str">
        <f>"9780273791539"</f>
        <v>9780273791539</v>
      </c>
      <c r="E231" s="1" t="s">
        <v>52</v>
      </c>
      <c r="F231" s="1" t="s">
        <v>40</v>
      </c>
      <c r="G231" s="3">
        <v>41584</v>
      </c>
      <c r="H231" s="3">
        <v>1</v>
      </c>
      <c r="I231" s="1" t="s">
        <v>41</v>
      </c>
      <c r="J231" s="1">
        <v>11</v>
      </c>
      <c r="L231" s="1" t="s">
        <v>823</v>
      </c>
      <c r="Q231" s="1" t="s">
        <v>46</v>
      </c>
      <c r="R231" s="1" t="s">
        <v>47</v>
      </c>
      <c r="S231" s="1" t="s">
        <v>47</v>
      </c>
      <c r="T231" s="1" t="s">
        <v>48</v>
      </c>
      <c r="U231" s="1" t="s">
        <v>47</v>
      </c>
      <c r="V231" s="1" t="s">
        <v>47</v>
      </c>
      <c r="W231" s="1" t="s">
        <v>47</v>
      </c>
      <c r="Z231" s="1">
        <v>0</v>
      </c>
      <c r="AB231" s="1" t="s">
        <v>47</v>
      </c>
      <c r="AD231" s="1">
        <v>527665</v>
      </c>
      <c r="AF231" s="1" t="s">
        <v>47</v>
      </c>
      <c r="AG231" s="1" t="s">
        <v>47</v>
      </c>
      <c r="AH231" s="1" t="s">
        <v>49</v>
      </c>
      <c r="AI231" s="1" t="s">
        <v>47</v>
      </c>
      <c r="AK231" s="1" t="s">
        <v>48</v>
      </c>
      <c r="AL231" s="1" t="s">
        <v>826</v>
      </c>
    </row>
    <row r="232" spans="1:38">
      <c r="A232" s="1">
        <v>5136967</v>
      </c>
      <c r="B232" s="1" t="s">
        <v>827</v>
      </c>
      <c r="C232" s="1" t="str">
        <f>"9780273735755"</f>
        <v>9780273735755</v>
      </c>
      <c r="D232" s="1" t="str">
        <f>"9780273735762"</f>
        <v>9780273735762</v>
      </c>
      <c r="E232" s="1" t="s">
        <v>52</v>
      </c>
      <c r="F232" s="1" t="s">
        <v>361</v>
      </c>
      <c r="G232" s="3">
        <v>41312</v>
      </c>
      <c r="H232" s="3">
        <v>1</v>
      </c>
      <c r="I232" s="1" t="s">
        <v>41</v>
      </c>
      <c r="J232" s="1">
        <v>8</v>
      </c>
      <c r="L232" s="1" t="s">
        <v>828</v>
      </c>
      <c r="Q232" s="1" t="s">
        <v>46</v>
      </c>
      <c r="R232" s="1" t="s">
        <v>47</v>
      </c>
      <c r="S232" s="1" t="s">
        <v>47</v>
      </c>
      <c r="T232" s="1" t="s">
        <v>48</v>
      </c>
      <c r="U232" s="1" t="s">
        <v>47</v>
      </c>
      <c r="V232" s="1" t="s">
        <v>47</v>
      </c>
      <c r="W232" s="1" t="s">
        <v>47</v>
      </c>
      <c r="Z232" s="1">
        <v>0</v>
      </c>
      <c r="AB232" s="1" t="s">
        <v>47</v>
      </c>
      <c r="AD232" s="1">
        <v>462958</v>
      </c>
      <c r="AF232" s="1" t="s">
        <v>47</v>
      </c>
      <c r="AG232" s="1" t="s">
        <v>47</v>
      </c>
      <c r="AH232" s="1" t="s">
        <v>49</v>
      </c>
      <c r="AI232" s="1" t="s">
        <v>47</v>
      </c>
      <c r="AK232" s="1" t="s">
        <v>48</v>
      </c>
      <c r="AL232" s="1" t="s">
        <v>829</v>
      </c>
    </row>
    <row r="233" spans="1:38">
      <c r="A233" s="1">
        <v>5136968</v>
      </c>
      <c r="B233" s="1" t="s">
        <v>830</v>
      </c>
      <c r="C233" s="1" t="str">
        <f>"9781292020198"</f>
        <v>9781292020198</v>
      </c>
      <c r="D233" s="1" t="str">
        <f>"9781292033594"</f>
        <v>9781292033594</v>
      </c>
      <c r="E233" s="1" t="s">
        <v>52</v>
      </c>
      <c r="F233" s="1" t="s">
        <v>40</v>
      </c>
      <c r="G233" s="3">
        <v>41513</v>
      </c>
      <c r="H233" s="3">
        <v>1</v>
      </c>
      <c r="I233" s="1" t="s">
        <v>41</v>
      </c>
      <c r="J233" s="1">
        <v>5</v>
      </c>
      <c r="L233" s="1" t="s">
        <v>831</v>
      </c>
      <c r="Q233" s="1" t="s">
        <v>46</v>
      </c>
      <c r="R233" s="1" t="s">
        <v>47</v>
      </c>
      <c r="S233" s="1" t="s">
        <v>47</v>
      </c>
      <c r="T233" s="1" t="s">
        <v>48</v>
      </c>
      <c r="U233" s="1" t="s">
        <v>47</v>
      </c>
      <c r="V233" s="1" t="s">
        <v>47</v>
      </c>
      <c r="W233" s="1" t="s">
        <v>47</v>
      </c>
      <c r="Z233" s="1">
        <v>0</v>
      </c>
      <c r="AB233" s="1" t="s">
        <v>47</v>
      </c>
      <c r="AD233" s="1">
        <v>527589</v>
      </c>
      <c r="AF233" s="1" t="s">
        <v>47</v>
      </c>
      <c r="AG233" s="1" t="s">
        <v>47</v>
      </c>
      <c r="AH233" s="1" t="s">
        <v>49</v>
      </c>
      <c r="AI233" s="1" t="s">
        <v>47</v>
      </c>
      <c r="AK233" s="1" t="s">
        <v>48</v>
      </c>
      <c r="AL233" s="1" t="s">
        <v>832</v>
      </c>
    </row>
    <row r="234" spans="1:38">
      <c r="A234" s="1">
        <v>5136969</v>
      </c>
      <c r="B234" s="1" t="s">
        <v>833</v>
      </c>
      <c r="C234" s="1" t="str">
        <f>"9781292039275"</f>
        <v>9781292039275</v>
      </c>
      <c r="D234" s="1" t="str">
        <f>"9781292054834"</f>
        <v>9781292054834</v>
      </c>
      <c r="E234" s="1" t="s">
        <v>52</v>
      </c>
      <c r="F234" s="1" t="s">
        <v>40</v>
      </c>
      <c r="G234" s="3">
        <v>41550</v>
      </c>
      <c r="H234" s="3">
        <v>1</v>
      </c>
      <c r="I234" s="1" t="s">
        <v>41</v>
      </c>
      <c r="J234" s="1">
        <v>5</v>
      </c>
      <c r="L234" s="1" t="s">
        <v>834</v>
      </c>
      <c r="Q234" s="1" t="s">
        <v>46</v>
      </c>
      <c r="R234" s="1" t="s">
        <v>47</v>
      </c>
      <c r="S234" s="1" t="s">
        <v>47</v>
      </c>
      <c r="T234" s="1" t="s">
        <v>48</v>
      </c>
      <c r="U234" s="1" t="s">
        <v>47</v>
      </c>
      <c r="V234" s="1" t="s">
        <v>47</v>
      </c>
      <c r="W234" s="1" t="s">
        <v>47</v>
      </c>
      <c r="Z234" s="1">
        <v>0</v>
      </c>
      <c r="AB234" s="1" t="s">
        <v>47</v>
      </c>
      <c r="AD234" s="1">
        <v>543511</v>
      </c>
      <c r="AF234" s="1" t="s">
        <v>47</v>
      </c>
      <c r="AG234" s="1" t="s">
        <v>47</v>
      </c>
      <c r="AH234" s="1" t="s">
        <v>49</v>
      </c>
      <c r="AI234" s="1" t="s">
        <v>47</v>
      </c>
      <c r="AK234" s="1" t="s">
        <v>48</v>
      </c>
      <c r="AL234" s="1" t="s">
        <v>835</v>
      </c>
    </row>
    <row r="235" spans="1:38">
      <c r="A235" s="1">
        <v>5136971</v>
      </c>
      <c r="B235" s="1" t="s">
        <v>836</v>
      </c>
      <c r="C235" s="1" t="str">
        <f>"9781292042138"</f>
        <v>9781292042138</v>
      </c>
      <c r="D235" s="1" t="str">
        <f>"9781292054858"</f>
        <v>9781292054858</v>
      </c>
      <c r="E235" s="1" t="s">
        <v>52</v>
      </c>
      <c r="F235" s="1" t="s">
        <v>40</v>
      </c>
      <c r="G235" s="3">
        <v>40730</v>
      </c>
      <c r="H235" s="3">
        <v>1</v>
      </c>
      <c r="I235" s="1" t="s">
        <v>41</v>
      </c>
      <c r="J235" s="1">
        <v>13</v>
      </c>
      <c r="L235" s="1" t="s">
        <v>837</v>
      </c>
      <c r="M235" s="1" t="s">
        <v>372</v>
      </c>
      <c r="O235" s="1">
        <v>300</v>
      </c>
      <c r="Q235" s="1" t="s">
        <v>46</v>
      </c>
      <c r="R235" s="1" t="s">
        <v>47</v>
      </c>
      <c r="S235" s="1" t="s">
        <v>47</v>
      </c>
      <c r="T235" s="1" t="s">
        <v>48</v>
      </c>
      <c r="U235" s="1" t="s">
        <v>47</v>
      </c>
      <c r="V235" s="1" t="s">
        <v>47</v>
      </c>
      <c r="W235" s="1" t="s">
        <v>47</v>
      </c>
      <c r="Z235" s="1">
        <v>0</v>
      </c>
      <c r="AB235" s="1" t="s">
        <v>47</v>
      </c>
      <c r="AD235" s="1">
        <v>543633</v>
      </c>
      <c r="AF235" s="1" t="s">
        <v>47</v>
      </c>
      <c r="AG235" s="1" t="s">
        <v>47</v>
      </c>
      <c r="AH235" s="1" t="s">
        <v>49</v>
      </c>
      <c r="AI235" s="1" t="s">
        <v>47</v>
      </c>
      <c r="AK235" s="1" t="s">
        <v>48</v>
      </c>
      <c r="AL235" s="1" t="s">
        <v>838</v>
      </c>
    </row>
    <row r="236" spans="1:38">
      <c r="A236" s="1">
        <v>5136972</v>
      </c>
      <c r="B236" s="1" t="s">
        <v>839</v>
      </c>
      <c r="C236" s="1" t="str">
        <f>"9781292026237"</f>
        <v>9781292026237</v>
      </c>
      <c r="D236" s="1" t="str">
        <f>"9781292038636"</f>
        <v>9781292038636</v>
      </c>
      <c r="E236" s="1" t="s">
        <v>52</v>
      </c>
      <c r="F236" s="1" t="s">
        <v>40</v>
      </c>
      <c r="G236" s="3">
        <v>41515</v>
      </c>
      <c r="H236" s="3">
        <v>1</v>
      </c>
      <c r="I236" s="1" t="s">
        <v>41</v>
      </c>
      <c r="J236" s="1">
        <v>2</v>
      </c>
      <c r="L236" s="1" t="s">
        <v>840</v>
      </c>
      <c r="Q236" s="1" t="s">
        <v>46</v>
      </c>
      <c r="R236" s="1" t="s">
        <v>47</v>
      </c>
      <c r="S236" s="1" t="s">
        <v>47</v>
      </c>
      <c r="T236" s="1" t="s">
        <v>48</v>
      </c>
      <c r="U236" s="1" t="s">
        <v>47</v>
      </c>
      <c r="V236" s="1" t="s">
        <v>47</v>
      </c>
      <c r="W236" s="1" t="s">
        <v>47</v>
      </c>
      <c r="Z236" s="1">
        <v>0</v>
      </c>
      <c r="AB236" s="1" t="s">
        <v>47</v>
      </c>
      <c r="AD236" s="1">
        <v>527322</v>
      </c>
      <c r="AF236" s="1" t="s">
        <v>47</v>
      </c>
      <c r="AG236" s="1" t="s">
        <v>47</v>
      </c>
      <c r="AH236" s="1" t="s">
        <v>49</v>
      </c>
      <c r="AI236" s="1" t="s">
        <v>47</v>
      </c>
      <c r="AK236" s="1" t="s">
        <v>48</v>
      </c>
      <c r="AL236" s="1" t="s">
        <v>841</v>
      </c>
    </row>
    <row r="237" spans="1:38">
      <c r="A237" s="1">
        <v>5136974</v>
      </c>
      <c r="B237" s="1" t="s">
        <v>842</v>
      </c>
      <c r="C237" s="1" t="str">
        <f>"9780273763468"</f>
        <v>9780273763468</v>
      </c>
      <c r="D237" s="1" t="str">
        <f>"9780273763499"</f>
        <v>9780273763499</v>
      </c>
      <c r="E237" s="1" t="s">
        <v>52</v>
      </c>
      <c r="F237" s="1" t="s">
        <v>40</v>
      </c>
      <c r="G237" s="3">
        <v>41194</v>
      </c>
      <c r="H237" s="3">
        <v>1</v>
      </c>
      <c r="I237" s="1" t="s">
        <v>41</v>
      </c>
      <c r="J237" s="1">
        <v>7</v>
      </c>
      <c r="L237" s="1" t="s">
        <v>843</v>
      </c>
      <c r="M237" s="1" t="s">
        <v>59</v>
      </c>
      <c r="N237" s="1" t="s">
        <v>844</v>
      </c>
      <c r="O237" s="1">
        <v>658.15094099999999</v>
      </c>
      <c r="Q237" s="1" t="s">
        <v>46</v>
      </c>
      <c r="R237" s="1" t="s">
        <v>47</v>
      </c>
      <c r="S237" s="1" t="s">
        <v>47</v>
      </c>
      <c r="T237" s="1" t="s">
        <v>48</v>
      </c>
      <c r="U237" s="1" t="s">
        <v>47</v>
      </c>
      <c r="V237" s="1" t="s">
        <v>47</v>
      </c>
      <c r="W237" s="1" t="s">
        <v>47</v>
      </c>
      <c r="Z237" s="1">
        <v>0</v>
      </c>
      <c r="AB237" s="1" t="s">
        <v>47</v>
      </c>
      <c r="AD237" s="1">
        <v>399616</v>
      </c>
      <c r="AF237" s="1" t="s">
        <v>47</v>
      </c>
      <c r="AG237" s="1" t="s">
        <v>47</v>
      </c>
      <c r="AH237" s="1" t="s">
        <v>49</v>
      </c>
      <c r="AI237" s="1" t="s">
        <v>47</v>
      </c>
      <c r="AK237" s="1" t="s">
        <v>48</v>
      </c>
      <c r="AL237" s="1" t="s">
        <v>845</v>
      </c>
    </row>
    <row r="238" spans="1:38">
      <c r="A238" s="1">
        <v>5136975</v>
      </c>
      <c r="B238" s="1" t="s">
        <v>846</v>
      </c>
      <c r="C238" s="1" t="str">
        <f>"9781292023250"</f>
        <v>9781292023250</v>
      </c>
      <c r="D238" s="1" t="str">
        <f>"9781292036427"</f>
        <v>9781292036427</v>
      </c>
      <c r="E238" s="1" t="s">
        <v>52</v>
      </c>
      <c r="F238" s="1" t="s">
        <v>40</v>
      </c>
      <c r="G238" s="3">
        <v>41514</v>
      </c>
      <c r="H238" s="3">
        <v>1</v>
      </c>
      <c r="I238" s="1" t="s">
        <v>41</v>
      </c>
      <c r="J238" s="1">
        <v>8</v>
      </c>
      <c r="L238" s="1" t="s">
        <v>847</v>
      </c>
      <c r="Q238" s="1" t="s">
        <v>46</v>
      </c>
      <c r="R238" s="1" t="s">
        <v>47</v>
      </c>
      <c r="S238" s="1" t="s">
        <v>47</v>
      </c>
      <c r="T238" s="1" t="s">
        <v>48</v>
      </c>
      <c r="U238" s="1" t="s">
        <v>47</v>
      </c>
      <c r="V238" s="1" t="s">
        <v>47</v>
      </c>
      <c r="W238" s="1" t="s">
        <v>47</v>
      </c>
      <c r="Z238" s="1">
        <v>0</v>
      </c>
      <c r="AB238" s="1" t="s">
        <v>47</v>
      </c>
      <c r="AD238" s="1">
        <v>527146</v>
      </c>
      <c r="AF238" s="1" t="s">
        <v>47</v>
      </c>
      <c r="AG238" s="1" t="s">
        <v>47</v>
      </c>
      <c r="AH238" s="1" t="s">
        <v>49</v>
      </c>
      <c r="AI238" s="1" t="s">
        <v>47</v>
      </c>
      <c r="AK238" s="1" t="s">
        <v>48</v>
      </c>
      <c r="AL238" s="1" t="s">
        <v>848</v>
      </c>
    </row>
    <row r="239" spans="1:38">
      <c r="A239" s="1">
        <v>5136976</v>
      </c>
      <c r="B239" s="1" t="s">
        <v>849</v>
      </c>
      <c r="C239" s="1" t="str">
        <f>"9781292027937"</f>
        <v>9781292027937</v>
      </c>
      <c r="D239" s="1" t="str">
        <f>"9781292054957"</f>
        <v>9781292054957</v>
      </c>
      <c r="E239" s="1" t="s">
        <v>52</v>
      </c>
      <c r="F239" s="1" t="s">
        <v>40</v>
      </c>
      <c r="G239" s="3">
        <v>41550</v>
      </c>
      <c r="H239" s="3">
        <v>1</v>
      </c>
      <c r="I239" s="1" t="s">
        <v>41</v>
      </c>
      <c r="J239" s="1">
        <v>8</v>
      </c>
      <c r="L239" s="1" t="s">
        <v>850</v>
      </c>
      <c r="Q239" s="1" t="s">
        <v>46</v>
      </c>
      <c r="R239" s="1" t="s">
        <v>47</v>
      </c>
      <c r="S239" s="1" t="s">
        <v>47</v>
      </c>
      <c r="T239" s="1" t="s">
        <v>48</v>
      </c>
      <c r="U239" s="1" t="s">
        <v>47</v>
      </c>
      <c r="V239" s="1" t="s">
        <v>47</v>
      </c>
      <c r="W239" s="1" t="s">
        <v>47</v>
      </c>
      <c r="Z239" s="1">
        <v>0</v>
      </c>
      <c r="AB239" s="1" t="s">
        <v>47</v>
      </c>
      <c r="AD239" s="1">
        <v>543387</v>
      </c>
      <c r="AF239" s="1" t="s">
        <v>47</v>
      </c>
      <c r="AG239" s="1" t="s">
        <v>47</v>
      </c>
      <c r="AH239" s="1" t="s">
        <v>49</v>
      </c>
      <c r="AI239" s="1" t="s">
        <v>47</v>
      </c>
      <c r="AK239" s="1" t="s">
        <v>48</v>
      </c>
      <c r="AL239" s="1" t="s">
        <v>851</v>
      </c>
    </row>
    <row r="240" spans="1:38">
      <c r="A240" s="1">
        <v>5136977</v>
      </c>
      <c r="B240" s="1" t="s">
        <v>852</v>
      </c>
      <c r="C240" s="1" t="str">
        <f>"9781292021614"</f>
        <v>9781292021614</v>
      </c>
      <c r="D240" s="1" t="str">
        <f>"9781292034843"</f>
        <v>9781292034843</v>
      </c>
      <c r="E240" s="1" t="s">
        <v>52</v>
      </c>
      <c r="F240" s="1" t="s">
        <v>40</v>
      </c>
      <c r="G240" s="3">
        <v>41513</v>
      </c>
      <c r="H240" s="3">
        <v>1</v>
      </c>
      <c r="I240" s="1" t="s">
        <v>41</v>
      </c>
      <c r="J240" s="1">
        <v>7</v>
      </c>
      <c r="L240" s="1" t="s">
        <v>853</v>
      </c>
      <c r="Q240" s="1" t="s">
        <v>46</v>
      </c>
      <c r="R240" s="1" t="s">
        <v>47</v>
      </c>
      <c r="S240" s="1" t="s">
        <v>47</v>
      </c>
      <c r="T240" s="1" t="s">
        <v>48</v>
      </c>
      <c r="U240" s="1" t="s">
        <v>47</v>
      </c>
      <c r="V240" s="1" t="s">
        <v>47</v>
      </c>
      <c r="W240" s="1" t="s">
        <v>47</v>
      </c>
      <c r="Z240" s="1">
        <v>0</v>
      </c>
      <c r="AB240" s="1" t="s">
        <v>47</v>
      </c>
      <c r="AD240" s="1">
        <v>527022</v>
      </c>
      <c r="AF240" s="1" t="s">
        <v>47</v>
      </c>
      <c r="AG240" s="1" t="s">
        <v>47</v>
      </c>
      <c r="AH240" s="1" t="s">
        <v>49</v>
      </c>
      <c r="AI240" s="1" t="s">
        <v>47</v>
      </c>
      <c r="AK240" s="1" t="s">
        <v>48</v>
      </c>
      <c r="AL240" s="1" t="s">
        <v>854</v>
      </c>
    </row>
    <row r="241" spans="1:38">
      <c r="A241" s="1">
        <v>5136981</v>
      </c>
      <c r="B241" s="1" t="s">
        <v>855</v>
      </c>
      <c r="C241" s="1" t="str">
        <f>"9781447923060"</f>
        <v>9781447923060</v>
      </c>
      <c r="D241" s="1" t="str">
        <f>"9781447923091"</f>
        <v>9781447923091</v>
      </c>
      <c r="E241" s="1" t="s">
        <v>52</v>
      </c>
      <c r="F241" s="1" t="s">
        <v>40</v>
      </c>
      <c r="G241" s="3">
        <v>41414</v>
      </c>
      <c r="H241" s="3">
        <v>1</v>
      </c>
      <c r="I241" s="1" t="s">
        <v>41</v>
      </c>
      <c r="J241" s="1">
        <v>4</v>
      </c>
      <c r="L241" s="1" t="s">
        <v>856</v>
      </c>
      <c r="M241" s="1" t="s">
        <v>162</v>
      </c>
      <c r="N241" s="1" t="s">
        <v>857</v>
      </c>
      <c r="O241" s="1" t="s">
        <v>858</v>
      </c>
      <c r="Q241" s="1" t="s">
        <v>46</v>
      </c>
      <c r="R241" s="1" t="s">
        <v>47</v>
      </c>
      <c r="S241" s="1" t="s">
        <v>47</v>
      </c>
      <c r="T241" s="1" t="s">
        <v>48</v>
      </c>
      <c r="U241" s="1" t="s">
        <v>47</v>
      </c>
      <c r="V241" s="1" t="s">
        <v>47</v>
      </c>
      <c r="W241" s="1" t="s">
        <v>47</v>
      </c>
      <c r="Z241" s="1">
        <v>0</v>
      </c>
      <c r="AB241" s="1" t="s">
        <v>47</v>
      </c>
      <c r="AD241" s="1">
        <v>492444</v>
      </c>
      <c r="AF241" s="1" t="s">
        <v>47</v>
      </c>
      <c r="AG241" s="1" t="s">
        <v>47</v>
      </c>
      <c r="AH241" s="1" t="s">
        <v>49</v>
      </c>
      <c r="AI241" s="1" t="s">
        <v>47</v>
      </c>
      <c r="AK241" s="1" t="s">
        <v>48</v>
      </c>
      <c r="AL241" s="1" t="s">
        <v>859</v>
      </c>
    </row>
    <row r="242" spans="1:38">
      <c r="A242" s="1">
        <v>5136984</v>
      </c>
      <c r="B242" s="1" t="s">
        <v>860</v>
      </c>
      <c r="C242" s="1" t="str">
        <f>"9781292026350"</f>
        <v>9781292026350</v>
      </c>
      <c r="D242" s="1" t="str">
        <f>"9781292038742"</f>
        <v>9781292038742</v>
      </c>
      <c r="E242" s="1" t="s">
        <v>52</v>
      </c>
      <c r="F242" s="1" t="s">
        <v>40</v>
      </c>
      <c r="G242" s="3">
        <v>41515</v>
      </c>
      <c r="H242" s="3">
        <v>1</v>
      </c>
      <c r="I242" s="1" t="s">
        <v>41</v>
      </c>
      <c r="J242" s="1">
        <v>7</v>
      </c>
      <c r="L242" s="1" t="s">
        <v>861</v>
      </c>
      <c r="Q242" s="1" t="s">
        <v>46</v>
      </c>
      <c r="R242" s="1" t="s">
        <v>47</v>
      </c>
      <c r="S242" s="1" t="s">
        <v>47</v>
      </c>
      <c r="T242" s="1" t="s">
        <v>48</v>
      </c>
      <c r="U242" s="1" t="s">
        <v>47</v>
      </c>
      <c r="V242" s="1" t="s">
        <v>47</v>
      </c>
      <c r="W242" s="1" t="s">
        <v>47</v>
      </c>
      <c r="Z242" s="1">
        <v>0</v>
      </c>
      <c r="AB242" s="1" t="s">
        <v>47</v>
      </c>
      <c r="AD242" s="1">
        <v>527186</v>
      </c>
      <c r="AF242" s="1" t="s">
        <v>47</v>
      </c>
      <c r="AG242" s="1" t="s">
        <v>47</v>
      </c>
      <c r="AH242" s="1" t="s">
        <v>49</v>
      </c>
      <c r="AI242" s="1" t="s">
        <v>47</v>
      </c>
      <c r="AK242" s="1" t="s">
        <v>48</v>
      </c>
      <c r="AL242" s="1" t="s">
        <v>862</v>
      </c>
    </row>
    <row r="243" spans="1:38">
      <c r="A243" s="1">
        <v>5136989</v>
      </c>
      <c r="B243" s="1" t="s">
        <v>863</v>
      </c>
      <c r="C243" s="1" t="str">
        <f>"9781447923152"</f>
        <v>9781447923152</v>
      </c>
      <c r="D243" s="1" t="str">
        <f>"9781447923169"</f>
        <v>9781447923169</v>
      </c>
      <c r="E243" s="1" t="s">
        <v>52</v>
      </c>
      <c r="F243" s="1" t="s">
        <v>40</v>
      </c>
      <c r="G243" s="3">
        <v>41436</v>
      </c>
      <c r="H243" s="3">
        <v>1</v>
      </c>
      <c r="I243" s="1" t="s">
        <v>41</v>
      </c>
      <c r="J243" s="1">
        <v>11</v>
      </c>
      <c r="L243" s="1" t="s">
        <v>864</v>
      </c>
      <c r="Q243" s="1" t="s">
        <v>46</v>
      </c>
      <c r="R243" s="1" t="s">
        <v>47</v>
      </c>
      <c r="S243" s="1" t="s">
        <v>47</v>
      </c>
      <c r="T243" s="1" t="s">
        <v>48</v>
      </c>
      <c r="U243" s="1" t="s">
        <v>47</v>
      </c>
      <c r="V243" s="1" t="s">
        <v>47</v>
      </c>
      <c r="W243" s="1" t="s">
        <v>47</v>
      </c>
      <c r="Z243" s="1">
        <v>0</v>
      </c>
      <c r="AB243" s="1" t="s">
        <v>47</v>
      </c>
      <c r="AD243" s="1">
        <v>497442</v>
      </c>
      <c r="AF243" s="1" t="s">
        <v>47</v>
      </c>
      <c r="AG243" s="1" t="s">
        <v>47</v>
      </c>
      <c r="AH243" s="1" t="s">
        <v>49</v>
      </c>
      <c r="AI243" s="1" t="s">
        <v>47</v>
      </c>
      <c r="AK243" s="1" t="s">
        <v>48</v>
      </c>
      <c r="AL243" s="1" t="s">
        <v>865</v>
      </c>
    </row>
    <row r="244" spans="1:38">
      <c r="A244" s="1">
        <v>5136994</v>
      </c>
      <c r="B244" s="1" t="s">
        <v>866</v>
      </c>
      <c r="C244" s="1" t="str">
        <f>"9781292022970"</f>
        <v>9781292022970</v>
      </c>
      <c r="D244" s="1" t="str">
        <f>"9781292036151"</f>
        <v>9781292036151</v>
      </c>
      <c r="E244" s="1" t="s">
        <v>52</v>
      </c>
      <c r="F244" s="1" t="s">
        <v>40</v>
      </c>
      <c r="G244" s="3">
        <v>41514</v>
      </c>
      <c r="H244" s="3">
        <v>1</v>
      </c>
      <c r="I244" s="1" t="s">
        <v>41</v>
      </c>
      <c r="J244" s="1">
        <v>7</v>
      </c>
      <c r="L244" s="1" t="s">
        <v>867</v>
      </c>
      <c r="Q244" s="1" t="s">
        <v>46</v>
      </c>
      <c r="R244" s="1" t="s">
        <v>47</v>
      </c>
      <c r="S244" s="1" t="s">
        <v>47</v>
      </c>
      <c r="T244" s="1" t="s">
        <v>48</v>
      </c>
      <c r="U244" s="1" t="s">
        <v>47</v>
      </c>
      <c r="V244" s="1" t="s">
        <v>47</v>
      </c>
      <c r="W244" s="1" t="s">
        <v>47</v>
      </c>
      <c r="Z244" s="1">
        <v>0</v>
      </c>
      <c r="AB244" s="1" t="s">
        <v>47</v>
      </c>
      <c r="AD244" s="1">
        <v>527375</v>
      </c>
      <c r="AF244" s="1" t="s">
        <v>47</v>
      </c>
      <c r="AG244" s="1" t="s">
        <v>47</v>
      </c>
      <c r="AH244" s="1" t="s">
        <v>49</v>
      </c>
      <c r="AI244" s="1" t="s">
        <v>47</v>
      </c>
      <c r="AK244" s="1" t="s">
        <v>48</v>
      </c>
      <c r="AL244" s="1" t="s">
        <v>868</v>
      </c>
    </row>
    <row r="245" spans="1:38">
      <c r="A245" s="1">
        <v>5136996</v>
      </c>
      <c r="B245" s="1" t="s">
        <v>869</v>
      </c>
      <c r="C245" s="1" t="str">
        <f>"9781292022444"</f>
        <v>9781292022444</v>
      </c>
      <c r="D245" s="1" t="str">
        <f>"9781292035642"</f>
        <v>9781292035642</v>
      </c>
      <c r="E245" s="1" t="s">
        <v>52</v>
      </c>
      <c r="F245" s="1" t="s">
        <v>40</v>
      </c>
      <c r="G245" s="3">
        <v>41514</v>
      </c>
      <c r="H245" s="3">
        <v>1</v>
      </c>
      <c r="I245" s="1" t="s">
        <v>41</v>
      </c>
      <c r="J245" s="1">
        <v>12</v>
      </c>
      <c r="L245" s="1" t="s">
        <v>870</v>
      </c>
      <c r="Q245" s="1" t="s">
        <v>46</v>
      </c>
      <c r="R245" s="1" t="s">
        <v>47</v>
      </c>
      <c r="S245" s="1" t="s">
        <v>47</v>
      </c>
      <c r="T245" s="1" t="s">
        <v>48</v>
      </c>
      <c r="U245" s="1" t="s">
        <v>47</v>
      </c>
      <c r="V245" s="1" t="s">
        <v>47</v>
      </c>
      <c r="W245" s="1" t="s">
        <v>47</v>
      </c>
      <c r="Z245" s="1">
        <v>0</v>
      </c>
      <c r="AB245" s="1" t="s">
        <v>47</v>
      </c>
      <c r="AD245" s="1">
        <v>527042</v>
      </c>
      <c r="AF245" s="1" t="s">
        <v>47</v>
      </c>
      <c r="AG245" s="1" t="s">
        <v>47</v>
      </c>
      <c r="AH245" s="1" t="s">
        <v>49</v>
      </c>
      <c r="AI245" s="1" t="s">
        <v>47</v>
      </c>
      <c r="AK245" s="1" t="s">
        <v>48</v>
      </c>
      <c r="AL245" s="1" t="s">
        <v>871</v>
      </c>
    </row>
    <row r="246" spans="1:38">
      <c r="A246" s="1">
        <v>5136997</v>
      </c>
      <c r="B246" s="1" t="s">
        <v>872</v>
      </c>
      <c r="C246" s="1" t="str">
        <f>"9781292022857"</f>
        <v>9781292022857</v>
      </c>
      <c r="D246" s="1" t="str">
        <f>"9781292036045"</f>
        <v>9781292036045</v>
      </c>
      <c r="E246" s="1" t="s">
        <v>52</v>
      </c>
      <c r="F246" s="1" t="s">
        <v>40</v>
      </c>
      <c r="G246" s="3">
        <v>41514</v>
      </c>
      <c r="H246" s="3">
        <v>1</v>
      </c>
      <c r="I246" s="1" t="s">
        <v>41</v>
      </c>
      <c r="J246" s="1">
        <v>5</v>
      </c>
      <c r="L246" s="1" t="s">
        <v>873</v>
      </c>
      <c r="Q246" s="1" t="s">
        <v>46</v>
      </c>
      <c r="R246" s="1" t="s">
        <v>47</v>
      </c>
      <c r="S246" s="1" t="s">
        <v>47</v>
      </c>
      <c r="T246" s="1" t="s">
        <v>48</v>
      </c>
      <c r="U246" s="1" t="s">
        <v>47</v>
      </c>
      <c r="V246" s="1" t="s">
        <v>47</v>
      </c>
      <c r="W246" s="1" t="s">
        <v>47</v>
      </c>
      <c r="Z246" s="1">
        <v>0</v>
      </c>
      <c r="AB246" s="1" t="s">
        <v>47</v>
      </c>
      <c r="AD246" s="1">
        <v>527256</v>
      </c>
      <c r="AF246" s="1" t="s">
        <v>47</v>
      </c>
      <c r="AG246" s="1" t="s">
        <v>47</v>
      </c>
      <c r="AH246" s="1" t="s">
        <v>49</v>
      </c>
      <c r="AI246" s="1" t="s">
        <v>47</v>
      </c>
      <c r="AK246" s="1" t="s">
        <v>48</v>
      </c>
      <c r="AL246" s="1" t="s">
        <v>874</v>
      </c>
    </row>
    <row r="247" spans="1:38">
      <c r="A247" s="1">
        <v>5136998</v>
      </c>
      <c r="B247" s="1" t="s">
        <v>875</v>
      </c>
      <c r="C247" s="1" t="str">
        <f>"9781292022789"</f>
        <v>9781292022789</v>
      </c>
      <c r="D247" s="1" t="str">
        <f>"9781292035987"</f>
        <v>9781292035987</v>
      </c>
      <c r="E247" s="1" t="s">
        <v>52</v>
      </c>
      <c r="F247" s="1" t="s">
        <v>40</v>
      </c>
      <c r="G247" s="3">
        <v>41514</v>
      </c>
      <c r="H247" s="3">
        <v>1</v>
      </c>
      <c r="I247" s="1" t="s">
        <v>41</v>
      </c>
      <c r="J247" s="1">
        <v>10</v>
      </c>
      <c r="L247" s="1" t="s">
        <v>876</v>
      </c>
      <c r="Q247" s="1" t="s">
        <v>46</v>
      </c>
      <c r="R247" s="1" t="s">
        <v>47</v>
      </c>
      <c r="S247" s="1" t="s">
        <v>47</v>
      </c>
      <c r="T247" s="1" t="s">
        <v>48</v>
      </c>
      <c r="U247" s="1" t="s">
        <v>47</v>
      </c>
      <c r="V247" s="1" t="s">
        <v>47</v>
      </c>
      <c r="W247" s="1" t="s">
        <v>47</v>
      </c>
      <c r="Z247" s="1">
        <v>0</v>
      </c>
      <c r="AB247" s="1" t="s">
        <v>47</v>
      </c>
      <c r="AD247" s="1">
        <v>527170</v>
      </c>
      <c r="AF247" s="1" t="s">
        <v>47</v>
      </c>
      <c r="AG247" s="1" t="s">
        <v>47</v>
      </c>
      <c r="AH247" s="1" t="s">
        <v>49</v>
      </c>
      <c r="AI247" s="1" t="s">
        <v>47</v>
      </c>
      <c r="AK247" s="1" t="s">
        <v>48</v>
      </c>
      <c r="AL247" s="1" t="s">
        <v>877</v>
      </c>
    </row>
    <row r="248" spans="1:38">
      <c r="A248" s="1">
        <v>5136999</v>
      </c>
      <c r="B248" s="1" t="s">
        <v>878</v>
      </c>
      <c r="C248" s="1" t="str">
        <f>"9781292023977"</f>
        <v>9781292023977</v>
      </c>
      <c r="D248" s="1" t="str">
        <f>"9781292037073"</f>
        <v>9781292037073</v>
      </c>
      <c r="E248" s="1" t="s">
        <v>52</v>
      </c>
      <c r="F248" s="1" t="s">
        <v>40</v>
      </c>
      <c r="G248" s="3">
        <v>41515</v>
      </c>
      <c r="H248" s="3">
        <v>1</v>
      </c>
      <c r="I248" s="1" t="s">
        <v>41</v>
      </c>
      <c r="J248" s="1">
        <v>4</v>
      </c>
      <c r="L248" s="1" t="s">
        <v>879</v>
      </c>
      <c r="Q248" s="1" t="s">
        <v>46</v>
      </c>
      <c r="R248" s="1" t="s">
        <v>47</v>
      </c>
      <c r="S248" s="1" t="s">
        <v>47</v>
      </c>
      <c r="T248" s="1" t="s">
        <v>48</v>
      </c>
      <c r="U248" s="1" t="s">
        <v>47</v>
      </c>
      <c r="V248" s="1" t="s">
        <v>47</v>
      </c>
      <c r="W248" s="1" t="s">
        <v>47</v>
      </c>
      <c r="Z248" s="1">
        <v>0</v>
      </c>
      <c r="AB248" s="1" t="s">
        <v>47</v>
      </c>
      <c r="AD248" s="1">
        <v>527189</v>
      </c>
      <c r="AF248" s="1" t="s">
        <v>47</v>
      </c>
      <c r="AG248" s="1" t="s">
        <v>47</v>
      </c>
      <c r="AH248" s="1" t="s">
        <v>49</v>
      </c>
      <c r="AI248" s="1" t="s">
        <v>47</v>
      </c>
      <c r="AK248" s="1" t="s">
        <v>48</v>
      </c>
      <c r="AL248" s="1" t="s">
        <v>880</v>
      </c>
    </row>
    <row r="249" spans="1:38">
      <c r="A249" s="1">
        <v>5137002</v>
      </c>
      <c r="B249" s="1" t="s">
        <v>881</v>
      </c>
      <c r="C249" s="1" t="str">
        <f>"9780273750758"</f>
        <v>9780273750758</v>
      </c>
      <c r="D249" s="1" t="str">
        <f>"9780273750802"</f>
        <v>9780273750802</v>
      </c>
      <c r="E249" s="1" t="s">
        <v>52</v>
      </c>
      <c r="F249" s="1" t="s">
        <v>67</v>
      </c>
      <c r="G249" s="3">
        <v>41128</v>
      </c>
      <c r="H249" s="3">
        <v>1</v>
      </c>
      <c r="I249" s="1" t="s">
        <v>41</v>
      </c>
      <c r="J249" s="1">
        <v>6</v>
      </c>
      <c r="L249" s="1" t="s">
        <v>882</v>
      </c>
      <c r="M249" s="1" t="s">
        <v>59</v>
      </c>
      <c r="N249" s="1" t="s">
        <v>883</v>
      </c>
      <c r="O249" s="1">
        <v>650.072</v>
      </c>
      <c r="Q249" s="1" t="s">
        <v>46</v>
      </c>
      <c r="R249" s="1" t="s">
        <v>47</v>
      </c>
      <c r="S249" s="1" t="s">
        <v>47</v>
      </c>
      <c r="T249" s="1" t="s">
        <v>48</v>
      </c>
      <c r="U249" s="1" t="s">
        <v>47</v>
      </c>
      <c r="V249" s="1" t="s">
        <v>47</v>
      </c>
      <c r="W249" s="1" t="s">
        <v>47</v>
      </c>
      <c r="Z249" s="1">
        <v>0</v>
      </c>
      <c r="AB249" s="1" t="s">
        <v>47</v>
      </c>
      <c r="AD249" s="1">
        <v>385301</v>
      </c>
      <c r="AF249" s="1" t="s">
        <v>47</v>
      </c>
      <c r="AG249" s="1" t="s">
        <v>47</v>
      </c>
      <c r="AH249" s="1" t="s">
        <v>49</v>
      </c>
      <c r="AI249" s="1" t="s">
        <v>47</v>
      </c>
      <c r="AK249" s="1" t="s">
        <v>48</v>
      </c>
      <c r="AL249" s="1" t="s">
        <v>884</v>
      </c>
    </row>
    <row r="250" spans="1:38">
      <c r="A250" s="1">
        <v>5137003</v>
      </c>
      <c r="B250" s="1" t="s">
        <v>885</v>
      </c>
      <c r="C250" s="1" t="str">
        <f>""</f>
        <v/>
      </c>
      <c r="D250" s="1" t="str">
        <f>"9780273775539"</f>
        <v>9780273775539</v>
      </c>
      <c r="E250" s="1" t="s">
        <v>52</v>
      </c>
      <c r="F250" s="1" t="s">
        <v>365</v>
      </c>
      <c r="G250" s="3">
        <v>41584</v>
      </c>
      <c r="H250" s="3">
        <v>1</v>
      </c>
      <c r="I250" s="1" t="s">
        <v>41</v>
      </c>
      <c r="J250" s="1">
        <v>5</v>
      </c>
      <c r="L250" s="1" t="s">
        <v>886</v>
      </c>
      <c r="Q250" s="1" t="s">
        <v>46</v>
      </c>
      <c r="R250" s="1" t="s">
        <v>47</v>
      </c>
      <c r="S250" s="1" t="s">
        <v>47</v>
      </c>
      <c r="T250" s="1" t="s">
        <v>48</v>
      </c>
      <c r="U250" s="1" t="s">
        <v>47</v>
      </c>
      <c r="V250" s="1" t="s">
        <v>47</v>
      </c>
      <c r="W250" s="1" t="s">
        <v>47</v>
      </c>
      <c r="Z250" s="1">
        <v>0</v>
      </c>
      <c r="AB250" s="1" t="s">
        <v>47</v>
      </c>
      <c r="AD250" s="1">
        <v>469811</v>
      </c>
      <c r="AF250" s="1" t="s">
        <v>47</v>
      </c>
      <c r="AG250" s="1" t="s">
        <v>47</v>
      </c>
      <c r="AH250" s="1" t="s">
        <v>49</v>
      </c>
      <c r="AI250" s="1" t="s">
        <v>47</v>
      </c>
      <c r="AK250" s="1" t="s">
        <v>48</v>
      </c>
      <c r="AL250" s="1" t="s">
        <v>887</v>
      </c>
    </row>
    <row r="251" spans="1:38">
      <c r="A251" s="1">
        <v>5137004</v>
      </c>
      <c r="B251" s="1" t="s">
        <v>888</v>
      </c>
      <c r="C251" s="1" t="str">
        <f>""</f>
        <v/>
      </c>
      <c r="D251" s="1" t="str">
        <f>"9780273775508"</f>
        <v>9780273775508</v>
      </c>
      <c r="E251" s="1" t="s">
        <v>52</v>
      </c>
      <c r="F251" s="1" t="s">
        <v>365</v>
      </c>
      <c r="G251" s="3">
        <v>41584</v>
      </c>
      <c r="H251" s="3">
        <v>1</v>
      </c>
      <c r="I251" s="1" t="s">
        <v>41</v>
      </c>
      <c r="J251" s="1">
        <v>5</v>
      </c>
      <c r="L251" s="1" t="s">
        <v>886</v>
      </c>
      <c r="Q251" s="1" t="s">
        <v>46</v>
      </c>
      <c r="R251" s="1" t="s">
        <v>47</v>
      </c>
      <c r="S251" s="1" t="s">
        <v>47</v>
      </c>
      <c r="T251" s="1" t="s">
        <v>48</v>
      </c>
      <c r="U251" s="1" t="s">
        <v>47</v>
      </c>
      <c r="V251" s="1" t="s">
        <v>47</v>
      </c>
      <c r="W251" s="1" t="s">
        <v>47</v>
      </c>
      <c r="Z251" s="1">
        <v>0</v>
      </c>
      <c r="AB251" s="1" t="s">
        <v>47</v>
      </c>
      <c r="AD251" s="1">
        <v>469812</v>
      </c>
      <c r="AF251" s="1" t="s">
        <v>47</v>
      </c>
      <c r="AG251" s="1" t="s">
        <v>47</v>
      </c>
      <c r="AH251" s="1" t="s">
        <v>49</v>
      </c>
      <c r="AI251" s="1" t="s">
        <v>47</v>
      </c>
      <c r="AK251" s="1" t="s">
        <v>48</v>
      </c>
      <c r="AL251" s="1" t="s">
        <v>889</v>
      </c>
    </row>
    <row r="252" spans="1:38">
      <c r="A252" s="1">
        <v>5137005</v>
      </c>
      <c r="B252" s="1" t="s">
        <v>890</v>
      </c>
      <c r="C252" s="1" t="str">
        <f>"9780273752189"</f>
        <v>9780273752189</v>
      </c>
      <c r="D252" s="1" t="str">
        <f>"9781447930488"</f>
        <v>9781447930488</v>
      </c>
      <c r="E252" s="1" t="s">
        <v>52</v>
      </c>
      <c r="F252" s="1" t="s">
        <v>365</v>
      </c>
      <c r="G252" s="3">
        <v>41584</v>
      </c>
      <c r="H252" s="3">
        <v>1</v>
      </c>
      <c r="I252" s="1" t="s">
        <v>41</v>
      </c>
      <c r="J252" s="1">
        <v>8</v>
      </c>
      <c r="L252" s="1" t="s">
        <v>886</v>
      </c>
      <c r="Q252" s="1" t="s">
        <v>46</v>
      </c>
      <c r="R252" s="1" t="s">
        <v>47</v>
      </c>
      <c r="S252" s="1" t="s">
        <v>47</v>
      </c>
      <c r="T252" s="1" t="s">
        <v>48</v>
      </c>
      <c r="U252" s="1" t="s">
        <v>47</v>
      </c>
      <c r="V252" s="1" t="s">
        <v>47</v>
      </c>
      <c r="W252" s="1" t="s">
        <v>47</v>
      </c>
      <c r="Z252" s="1">
        <v>0</v>
      </c>
      <c r="AB252" s="1" t="s">
        <v>47</v>
      </c>
      <c r="AD252" s="1">
        <v>531200</v>
      </c>
      <c r="AF252" s="1" t="s">
        <v>47</v>
      </c>
      <c r="AG252" s="1" t="s">
        <v>47</v>
      </c>
      <c r="AH252" s="1" t="s">
        <v>49</v>
      </c>
      <c r="AI252" s="1" t="s">
        <v>47</v>
      </c>
      <c r="AK252" s="1" t="s">
        <v>48</v>
      </c>
      <c r="AL252" s="1" t="s">
        <v>891</v>
      </c>
    </row>
    <row r="253" spans="1:38">
      <c r="A253" s="1">
        <v>5137008</v>
      </c>
      <c r="B253" s="1" t="s">
        <v>892</v>
      </c>
      <c r="C253" s="1" t="str">
        <f>"9781292020303"</f>
        <v>9781292020303</v>
      </c>
      <c r="D253" s="1" t="str">
        <f>"9781292033655"</f>
        <v>9781292033655</v>
      </c>
      <c r="E253" s="1" t="s">
        <v>52</v>
      </c>
      <c r="F253" s="1" t="s">
        <v>40</v>
      </c>
      <c r="G253" s="3">
        <v>41513</v>
      </c>
      <c r="H253" s="3">
        <v>1</v>
      </c>
      <c r="I253" s="1" t="s">
        <v>41</v>
      </c>
      <c r="J253" s="1">
        <v>13</v>
      </c>
      <c r="L253" s="1" t="s">
        <v>893</v>
      </c>
      <c r="Q253" s="1" t="s">
        <v>46</v>
      </c>
      <c r="R253" s="1" t="s">
        <v>47</v>
      </c>
      <c r="S253" s="1" t="s">
        <v>47</v>
      </c>
      <c r="T253" s="1" t="s">
        <v>48</v>
      </c>
      <c r="U253" s="1" t="s">
        <v>47</v>
      </c>
      <c r="V253" s="1" t="s">
        <v>47</v>
      </c>
      <c r="W253" s="1" t="s">
        <v>47</v>
      </c>
      <c r="Z253" s="1">
        <v>0</v>
      </c>
      <c r="AB253" s="1" t="s">
        <v>47</v>
      </c>
      <c r="AD253" s="1">
        <v>526935</v>
      </c>
      <c r="AF253" s="1" t="s">
        <v>47</v>
      </c>
      <c r="AG253" s="1" t="s">
        <v>47</v>
      </c>
      <c r="AH253" s="1" t="s">
        <v>49</v>
      </c>
      <c r="AI253" s="1" t="s">
        <v>47</v>
      </c>
      <c r="AK253" s="1" t="s">
        <v>48</v>
      </c>
      <c r="AL253" s="1" t="s">
        <v>894</v>
      </c>
    </row>
    <row r="254" spans="1:38">
      <c r="A254" s="1">
        <v>5137009</v>
      </c>
      <c r="B254" s="1" t="s">
        <v>895</v>
      </c>
      <c r="C254" s="1" t="str">
        <f>"9781292021683"</f>
        <v>9781292021683</v>
      </c>
      <c r="D254" s="1" t="str">
        <f>"9781292034911"</f>
        <v>9781292034911</v>
      </c>
      <c r="E254" s="1" t="s">
        <v>52</v>
      </c>
      <c r="F254" s="1" t="s">
        <v>40</v>
      </c>
      <c r="G254" s="3">
        <v>41455</v>
      </c>
      <c r="H254" s="3">
        <v>1</v>
      </c>
      <c r="I254" s="1" t="s">
        <v>41</v>
      </c>
      <c r="J254" s="1">
        <v>10</v>
      </c>
      <c r="L254" s="1" t="s">
        <v>896</v>
      </c>
      <c r="M254" s="1" t="s">
        <v>100</v>
      </c>
      <c r="O254" s="1">
        <v>158.69999999999999</v>
      </c>
      <c r="Q254" s="1" t="s">
        <v>46</v>
      </c>
      <c r="R254" s="1" t="s">
        <v>47</v>
      </c>
      <c r="S254" s="1" t="s">
        <v>47</v>
      </c>
      <c r="T254" s="1" t="s">
        <v>48</v>
      </c>
      <c r="U254" s="1" t="s">
        <v>47</v>
      </c>
      <c r="V254" s="1" t="s">
        <v>47</v>
      </c>
      <c r="W254" s="1" t="s">
        <v>47</v>
      </c>
      <c r="Z254" s="1">
        <v>0</v>
      </c>
      <c r="AB254" s="1" t="s">
        <v>47</v>
      </c>
      <c r="AD254" s="1">
        <v>527273</v>
      </c>
      <c r="AF254" s="1" t="s">
        <v>47</v>
      </c>
      <c r="AG254" s="1" t="s">
        <v>47</v>
      </c>
      <c r="AH254" s="1" t="s">
        <v>49</v>
      </c>
      <c r="AI254" s="1" t="s">
        <v>47</v>
      </c>
      <c r="AK254" s="1" t="s">
        <v>48</v>
      </c>
      <c r="AL254" s="1" t="s">
        <v>897</v>
      </c>
    </row>
    <row r="255" spans="1:38">
      <c r="A255" s="1">
        <v>5137010</v>
      </c>
      <c r="B255" s="1" t="s">
        <v>898</v>
      </c>
      <c r="C255" s="1" t="str">
        <f>"9781292039886"</f>
        <v>9781292039886</v>
      </c>
      <c r="D255" s="1" t="str">
        <f>"9781292055275"</f>
        <v>9781292055275</v>
      </c>
      <c r="E255" s="1" t="s">
        <v>52</v>
      </c>
      <c r="F255" s="1" t="s">
        <v>40</v>
      </c>
      <c r="G255" s="3">
        <v>41550</v>
      </c>
      <c r="H255" s="3">
        <v>1</v>
      </c>
      <c r="I255" s="1" t="s">
        <v>41</v>
      </c>
      <c r="J255" s="1">
        <v>1</v>
      </c>
      <c r="L255" s="1" t="s">
        <v>899</v>
      </c>
      <c r="Q255" s="1" t="s">
        <v>46</v>
      </c>
      <c r="R255" s="1" t="s">
        <v>47</v>
      </c>
      <c r="S255" s="1" t="s">
        <v>47</v>
      </c>
      <c r="T255" s="1" t="s">
        <v>48</v>
      </c>
      <c r="U255" s="1" t="s">
        <v>47</v>
      </c>
      <c r="V255" s="1" t="s">
        <v>47</v>
      </c>
      <c r="W255" s="1" t="s">
        <v>47</v>
      </c>
      <c r="Z255" s="1">
        <v>0</v>
      </c>
      <c r="AB255" s="1" t="s">
        <v>47</v>
      </c>
      <c r="AD255" s="1">
        <v>543446</v>
      </c>
      <c r="AF255" s="1" t="s">
        <v>47</v>
      </c>
      <c r="AG255" s="1" t="s">
        <v>47</v>
      </c>
      <c r="AH255" s="1" t="s">
        <v>49</v>
      </c>
      <c r="AI255" s="1" t="s">
        <v>47</v>
      </c>
      <c r="AK255" s="1" t="s">
        <v>48</v>
      </c>
      <c r="AL255" s="1" t="s">
        <v>900</v>
      </c>
    </row>
    <row r="256" spans="1:38">
      <c r="A256" s="1">
        <v>5137011</v>
      </c>
      <c r="B256" s="1" t="s">
        <v>901</v>
      </c>
      <c r="C256" s="1" t="str">
        <f>"9781292021119"</f>
        <v>9781292021119</v>
      </c>
      <c r="D256" s="1" t="str">
        <f>"9781292034362"</f>
        <v>9781292034362</v>
      </c>
      <c r="E256" s="1" t="s">
        <v>52</v>
      </c>
      <c r="F256" s="1" t="s">
        <v>40</v>
      </c>
      <c r="G256" s="3">
        <v>41513</v>
      </c>
      <c r="H256" s="3">
        <v>1</v>
      </c>
      <c r="I256" s="1" t="s">
        <v>41</v>
      </c>
      <c r="J256" s="1">
        <v>5</v>
      </c>
      <c r="L256" s="1" t="s">
        <v>902</v>
      </c>
      <c r="Q256" s="1" t="s">
        <v>46</v>
      </c>
      <c r="R256" s="1" t="s">
        <v>47</v>
      </c>
      <c r="S256" s="1" t="s">
        <v>47</v>
      </c>
      <c r="T256" s="1" t="s">
        <v>48</v>
      </c>
      <c r="U256" s="1" t="s">
        <v>47</v>
      </c>
      <c r="V256" s="1" t="s">
        <v>47</v>
      </c>
      <c r="W256" s="1" t="s">
        <v>47</v>
      </c>
      <c r="Z256" s="1">
        <v>0</v>
      </c>
      <c r="AB256" s="1" t="s">
        <v>47</v>
      </c>
      <c r="AD256" s="1">
        <v>527099</v>
      </c>
      <c r="AF256" s="1" t="s">
        <v>47</v>
      </c>
      <c r="AG256" s="1" t="s">
        <v>47</v>
      </c>
      <c r="AH256" s="1" t="s">
        <v>49</v>
      </c>
      <c r="AI256" s="1" t="s">
        <v>47</v>
      </c>
      <c r="AK256" s="1" t="s">
        <v>48</v>
      </c>
      <c r="AL256" s="1" t="s">
        <v>903</v>
      </c>
    </row>
    <row r="257" spans="1:38">
      <c r="A257" s="1">
        <v>5137012</v>
      </c>
      <c r="B257" s="1" t="s">
        <v>904</v>
      </c>
      <c r="C257" s="1" t="str">
        <f>""</f>
        <v/>
      </c>
      <c r="D257" s="1" t="str">
        <f>"9780273775560"</f>
        <v>9780273775560</v>
      </c>
      <c r="E257" s="1" t="s">
        <v>52</v>
      </c>
      <c r="F257" s="1" t="s">
        <v>365</v>
      </c>
      <c r="G257" s="3">
        <v>41353</v>
      </c>
      <c r="H257" s="3">
        <v>1</v>
      </c>
      <c r="I257" s="1" t="s">
        <v>41</v>
      </c>
      <c r="J257" s="1">
        <v>10</v>
      </c>
      <c r="L257" s="1" t="s">
        <v>905</v>
      </c>
      <c r="Q257" s="1" t="s">
        <v>46</v>
      </c>
      <c r="R257" s="1" t="s">
        <v>47</v>
      </c>
      <c r="S257" s="1" t="s">
        <v>47</v>
      </c>
      <c r="T257" s="1" t="s">
        <v>48</v>
      </c>
      <c r="U257" s="1" t="s">
        <v>47</v>
      </c>
      <c r="V257" s="1" t="s">
        <v>47</v>
      </c>
      <c r="W257" s="1" t="s">
        <v>47</v>
      </c>
      <c r="Z257" s="1">
        <v>0</v>
      </c>
      <c r="AB257" s="1" t="s">
        <v>47</v>
      </c>
      <c r="AD257" s="1">
        <v>469800</v>
      </c>
      <c r="AF257" s="1" t="s">
        <v>47</v>
      </c>
      <c r="AG257" s="1" t="s">
        <v>47</v>
      </c>
      <c r="AH257" s="1" t="s">
        <v>49</v>
      </c>
      <c r="AI257" s="1" t="s">
        <v>47</v>
      </c>
      <c r="AK257" s="1" t="s">
        <v>48</v>
      </c>
      <c r="AL257" s="1" t="s">
        <v>906</v>
      </c>
    </row>
    <row r="258" spans="1:38">
      <c r="A258" s="1">
        <v>5137013</v>
      </c>
      <c r="B258" s="1" t="s">
        <v>907</v>
      </c>
      <c r="C258" s="1" t="str">
        <f>"9781292022925"</f>
        <v>9781292022925</v>
      </c>
      <c r="D258" s="1" t="str">
        <f>"9781292036106"</f>
        <v>9781292036106</v>
      </c>
      <c r="E258" s="1" t="s">
        <v>52</v>
      </c>
      <c r="F258" s="1" t="s">
        <v>40</v>
      </c>
      <c r="G258" s="3">
        <v>41579</v>
      </c>
      <c r="H258" s="3">
        <v>1</v>
      </c>
      <c r="I258" s="1" t="s">
        <v>41</v>
      </c>
      <c r="J258" s="1">
        <v>2</v>
      </c>
      <c r="L258" s="1" t="s">
        <v>908</v>
      </c>
      <c r="Q258" s="1" t="s">
        <v>46</v>
      </c>
      <c r="R258" s="1" t="s">
        <v>47</v>
      </c>
      <c r="S258" s="1" t="s">
        <v>47</v>
      </c>
      <c r="T258" s="1" t="s">
        <v>48</v>
      </c>
      <c r="U258" s="1" t="s">
        <v>47</v>
      </c>
      <c r="V258" s="1" t="s">
        <v>47</v>
      </c>
      <c r="W258" s="1" t="s">
        <v>47</v>
      </c>
      <c r="Z258" s="1">
        <v>0</v>
      </c>
      <c r="AB258" s="1" t="s">
        <v>47</v>
      </c>
      <c r="AD258" s="1">
        <v>527127</v>
      </c>
      <c r="AF258" s="1" t="s">
        <v>47</v>
      </c>
      <c r="AG258" s="1" t="s">
        <v>47</v>
      </c>
      <c r="AH258" s="1" t="s">
        <v>49</v>
      </c>
      <c r="AI258" s="1" t="s">
        <v>47</v>
      </c>
      <c r="AK258" s="1" t="s">
        <v>48</v>
      </c>
      <c r="AL258" s="1" t="s">
        <v>909</v>
      </c>
    </row>
    <row r="259" spans="1:38">
      <c r="A259" s="1">
        <v>5137015</v>
      </c>
      <c r="B259" s="1" t="s">
        <v>910</v>
      </c>
      <c r="C259" s="1" t="str">
        <f>"9781292039527"</f>
        <v>9781292039527</v>
      </c>
      <c r="D259" s="1" t="str">
        <f>"9781292055374"</f>
        <v>9781292055374</v>
      </c>
      <c r="E259" s="1" t="s">
        <v>52</v>
      </c>
      <c r="F259" s="1" t="s">
        <v>40</v>
      </c>
      <c r="G259" s="3">
        <v>41550</v>
      </c>
      <c r="H259" s="3">
        <v>1</v>
      </c>
      <c r="I259" s="1" t="s">
        <v>41</v>
      </c>
      <c r="J259" s="1">
        <v>5</v>
      </c>
      <c r="L259" s="1" t="s">
        <v>911</v>
      </c>
      <c r="Q259" s="1" t="s">
        <v>46</v>
      </c>
      <c r="R259" s="1" t="s">
        <v>47</v>
      </c>
      <c r="S259" s="1" t="s">
        <v>47</v>
      </c>
      <c r="T259" s="1" t="s">
        <v>48</v>
      </c>
      <c r="U259" s="1" t="s">
        <v>47</v>
      </c>
      <c r="V259" s="1" t="s">
        <v>47</v>
      </c>
      <c r="W259" s="1" t="s">
        <v>47</v>
      </c>
      <c r="Z259" s="1">
        <v>0</v>
      </c>
      <c r="AB259" s="1" t="s">
        <v>47</v>
      </c>
      <c r="AD259" s="1">
        <v>543330</v>
      </c>
      <c r="AF259" s="1" t="s">
        <v>47</v>
      </c>
      <c r="AG259" s="1" t="s">
        <v>47</v>
      </c>
      <c r="AH259" s="1" t="s">
        <v>49</v>
      </c>
      <c r="AI259" s="1" t="s">
        <v>47</v>
      </c>
      <c r="AK259" s="1" t="s">
        <v>48</v>
      </c>
      <c r="AL259" s="1" t="s">
        <v>912</v>
      </c>
    </row>
    <row r="260" spans="1:38">
      <c r="A260" s="1">
        <v>5137017</v>
      </c>
      <c r="B260" s="1" t="s">
        <v>913</v>
      </c>
      <c r="C260" s="1" t="str">
        <f>"9781292026473"</f>
        <v>9781292026473</v>
      </c>
      <c r="D260" s="1" t="str">
        <f>"9781292038865"</f>
        <v>9781292038865</v>
      </c>
      <c r="E260" s="1" t="s">
        <v>52</v>
      </c>
      <c r="F260" s="1" t="s">
        <v>40</v>
      </c>
      <c r="G260" s="3">
        <v>41515</v>
      </c>
      <c r="H260" s="3">
        <v>1</v>
      </c>
      <c r="I260" s="1" t="s">
        <v>41</v>
      </c>
      <c r="J260" s="1">
        <v>6</v>
      </c>
      <c r="L260" s="1" t="s">
        <v>914</v>
      </c>
      <c r="M260" s="1" t="s">
        <v>915</v>
      </c>
      <c r="O260" s="1">
        <v>612</v>
      </c>
      <c r="Q260" s="1" t="s">
        <v>46</v>
      </c>
      <c r="R260" s="1" t="s">
        <v>47</v>
      </c>
      <c r="S260" s="1" t="s">
        <v>47</v>
      </c>
      <c r="T260" s="1" t="s">
        <v>48</v>
      </c>
      <c r="U260" s="1" t="s">
        <v>47</v>
      </c>
      <c r="V260" s="1" t="s">
        <v>47</v>
      </c>
      <c r="W260" s="1" t="s">
        <v>47</v>
      </c>
      <c r="Z260" s="1">
        <v>0</v>
      </c>
      <c r="AB260" s="1" t="s">
        <v>47</v>
      </c>
      <c r="AD260" s="1">
        <v>527359</v>
      </c>
      <c r="AF260" s="1" t="s">
        <v>47</v>
      </c>
      <c r="AG260" s="1" t="s">
        <v>47</v>
      </c>
      <c r="AH260" s="1" t="s">
        <v>49</v>
      </c>
      <c r="AI260" s="1" t="s">
        <v>47</v>
      </c>
      <c r="AK260" s="1" t="s">
        <v>48</v>
      </c>
      <c r="AL260" s="1" t="s">
        <v>916</v>
      </c>
    </row>
    <row r="261" spans="1:38">
      <c r="A261" s="1">
        <v>5137018</v>
      </c>
      <c r="B261" s="1" t="s">
        <v>917</v>
      </c>
      <c r="C261" s="1" t="str">
        <f>"9781292026282"</f>
        <v>9781292026282</v>
      </c>
      <c r="D261" s="1" t="str">
        <f>"9781292038674"</f>
        <v>9781292038674</v>
      </c>
      <c r="E261" s="1" t="s">
        <v>52</v>
      </c>
      <c r="F261" s="1" t="s">
        <v>40</v>
      </c>
      <c r="G261" s="3">
        <v>41515</v>
      </c>
      <c r="H261" s="3">
        <v>1</v>
      </c>
      <c r="I261" s="1" t="s">
        <v>41</v>
      </c>
      <c r="J261" s="1">
        <v>5</v>
      </c>
      <c r="L261" s="1" t="s">
        <v>918</v>
      </c>
      <c r="Q261" s="1" t="s">
        <v>46</v>
      </c>
      <c r="R261" s="1" t="s">
        <v>47</v>
      </c>
      <c r="S261" s="1" t="s">
        <v>47</v>
      </c>
      <c r="T261" s="1" t="s">
        <v>48</v>
      </c>
      <c r="U261" s="1" t="s">
        <v>47</v>
      </c>
      <c r="V261" s="1" t="s">
        <v>47</v>
      </c>
      <c r="W261" s="1" t="s">
        <v>47</v>
      </c>
      <c r="Z261" s="1">
        <v>0</v>
      </c>
      <c r="AB261" s="1" t="s">
        <v>47</v>
      </c>
      <c r="AD261" s="1">
        <v>527143</v>
      </c>
      <c r="AF261" s="1" t="s">
        <v>47</v>
      </c>
      <c r="AG261" s="1" t="s">
        <v>47</v>
      </c>
      <c r="AH261" s="1" t="s">
        <v>49</v>
      </c>
      <c r="AI261" s="1" t="s">
        <v>47</v>
      </c>
      <c r="AK261" s="1" t="s">
        <v>48</v>
      </c>
      <c r="AL261" s="1" t="s">
        <v>919</v>
      </c>
    </row>
    <row r="262" spans="1:38">
      <c r="A262" s="1">
        <v>5137019</v>
      </c>
      <c r="B262" s="1" t="s">
        <v>920</v>
      </c>
      <c r="C262" s="1" t="str">
        <f>"9781292026329"</f>
        <v>9781292026329</v>
      </c>
      <c r="D262" s="1" t="str">
        <f>"9781292038711"</f>
        <v>9781292038711</v>
      </c>
      <c r="E262" s="1" t="s">
        <v>52</v>
      </c>
      <c r="F262" s="1" t="s">
        <v>40</v>
      </c>
      <c r="G262" s="3">
        <v>41515</v>
      </c>
      <c r="H262" s="3">
        <v>1</v>
      </c>
      <c r="I262" s="1" t="s">
        <v>41</v>
      </c>
      <c r="J262" s="1">
        <v>4</v>
      </c>
      <c r="L262" s="1" t="s">
        <v>918</v>
      </c>
      <c r="Q262" s="1" t="s">
        <v>46</v>
      </c>
      <c r="R262" s="1" t="s">
        <v>47</v>
      </c>
      <c r="S262" s="1" t="s">
        <v>47</v>
      </c>
      <c r="T262" s="1" t="s">
        <v>48</v>
      </c>
      <c r="U262" s="1" t="s">
        <v>47</v>
      </c>
      <c r="V262" s="1" t="s">
        <v>47</v>
      </c>
      <c r="W262" s="1" t="s">
        <v>47</v>
      </c>
      <c r="Z262" s="1">
        <v>0</v>
      </c>
      <c r="AB262" s="1" t="s">
        <v>47</v>
      </c>
      <c r="AD262" s="1">
        <v>527157</v>
      </c>
      <c r="AF262" s="1" t="s">
        <v>47</v>
      </c>
      <c r="AG262" s="1" t="s">
        <v>47</v>
      </c>
      <c r="AH262" s="1" t="s">
        <v>49</v>
      </c>
      <c r="AI262" s="1" t="s">
        <v>47</v>
      </c>
      <c r="AK262" s="1" t="s">
        <v>48</v>
      </c>
      <c r="AL262" s="1" t="s">
        <v>921</v>
      </c>
    </row>
    <row r="263" spans="1:38">
      <c r="A263" s="1">
        <v>5137023</v>
      </c>
      <c r="B263" s="1" t="s">
        <v>922</v>
      </c>
      <c r="C263" s="1" t="str">
        <f>"9780273763123"</f>
        <v>9780273763123</v>
      </c>
      <c r="D263" s="1" t="str">
        <f>"9780273763161"</f>
        <v>9780273763161</v>
      </c>
      <c r="E263" s="1" t="s">
        <v>52</v>
      </c>
      <c r="F263" s="1" t="s">
        <v>40</v>
      </c>
      <c r="G263" s="3">
        <v>41081</v>
      </c>
      <c r="H263" s="3">
        <v>1</v>
      </c>
      <c r="I263" s="1" t="s">
        <v>41</v>
      </c>
      <c r="J263" s="1">
        <v>8</v>
      </c>
      <c r="L263" s="1" t="s">
        <v>923</v>
      </c>
      <c r="M263" s="1" t="s">
        <v>256</v>
      </c>
      <c r="N263" s="1" t="s">
        <v>924</v>
      </c>
      <c r="O263" s="1">
        <v>330</v>
      </c>
      <c r="Q263" s="1" t="s">
        <v>46</v>
      </c>
      <c r="R263" s="1" t="s">
        <v>47</v>
      </c>
      <c r="S263" s="1" t="s">
        <v>47</v>
      </c>
      <c r="T263" s="1" t="s">
        <v>48</v>
      </c>
      <c r="U263" s="1" t="s">
        <v>47</v>
      </c>
      <c r="V263" s="1" t="s">
        <v>47</v>
      </c>
      <c r="W263" s="1" t="s">
        <v>47</v>
      </c>
      <c r="Z263" s="1">
        <v>0</v>
      </c>
      <c r="AB263" s="1" t="s">
        <v>47</v>
      </c>
      <c r="AD263" s="1">
        <v>369155</v>
      </c>
      <c r="AF263" s="1" t="s">
        <v>47</v>
      </c>
      <c r="AG263" s="1" t="s">
        <v>47</v>
      </c>
      <c r="AH263" s="1" t="s">
        <v>49</v>
      </c>
      <c r="AI263" s="1" t="s">
        <v>47</v>
      </c>
      <c r="AK263" s="1" t="s">
        <v>48</v>
      </c>
      <c r="AL263" s="1" t="s">
        <v>925</v>
      </c>
    </row>
    <row r="264" spans="1:38">
      <c r="A264" s="1">
        <v>5137026</v>
      </c>
      <c r="B264" s="1" t="s">
        <v>926</v>
      </c>
      <c r="C264" s="1" t="str">
        <f>"9781408280799"</f>
        <v>9781408280799</v>
      </c>
      <c r="D264" s="1" t="str">
        <f>"9781408280812"</f>
        <v>9781408280812</v>
      </c>
      <c r="E264" s="1" t="s">
        <v>52</v>
      </c>
      <c r="F264" s="1" t="s">
        <v>40</v>
      </c>
      <c r="G264" s="3">
        <v>41128</v>
      </c>
      <c r="H264" s="3">
        <v>1</v>
      </c>
      <c r="I264" s="1" t="s">
        <v>41</v>
      </c>
      <c r="J264" s="1">
        <v>5</v>
      </c>
      <c r="L264" s="1" t="s">
        <v>293</v>
      </c>
      <c r="Q264" s="1" t="s">
        <v>46</v>
      </c>
      <c r="R264" s="1" t="s">
        <v>47</v>
      </c>
      <c r="S264" s="1" t="s">
        <v>47</v>
      </c>
      <c r="T264" s="1" t="s">
        <v>48</v>
      </c>
      <c r="U264" s="1" t="s">
        <v>47</v>
      </c>
      <c r="V264" s="1" t="s">
        <v>47</v>
      </c>
      <c r="W264" s="1" t="s">
        <v>47</v>
      </c>
      <c r="Z264" s="1">
        <v>0</v>
      </c>
      <c r="AB264" s="1" t="s">
        <v>47</v>
      </c>
      <c r="AD264" s="1">
        <v>385407</v>
      </c>
      <c r="AF264" s="1" t="s">
        <v>47</v>
      </c>
      <c r="AG264" s="1" t="s">
        <v>47</v>
      </c>
      <c r="AH264" s="1" t="s">
        <v>49</v>
      </c>
      <c r="AI264" s="1" t="s">
        <v>47</v>
      </c>
      <c r="AK264" s="1" t="s">
        <v>48</v>
      </c>
      <c r="AL264" s="1" t="s">
        <v>927</v>
      </c>
    </row>
    <row r="265" spans="1:38">
      <c r="A265" s="1">
        <v>5137027</v>
      </c>
      <c r="B265" s="1" t="s">
        <v>928</v>
      </c>
      <c r="C265" s="1" t="str">
        <f>"9781292027593"</f>
        <v>9781292027593</v>
      </c>
      <c r="D265" s="1" t="str">
        <f>"9781292055473"</f>
        <v>9781292055473</v>
      </c>
      <c r="E265" s="1" t="s">
        <v>52</v>
      </c>
      <c r="F265" s="1" t="s">
        <v>40</v>
      </c>
      <c r="G265" s="3">
        <v>41550</v>
      </c>
      <c r="H265" s="3">
        <v>1</v>
      </c>
      <c r="I265" s="1" t="s">
        <v>41</v>
      </c>
      <c r="J265" s="1">
        <v>8</v>
      </c>
      <c r="L265" s="1" t="s">
        <v>929</v>
      </c>
      <c r="Q265" s="1" t="s">
        <v>46</v>
      </c>
      <c r="R265" s="1" t="s">
        <v>47</v>
      </c>
      <c r="S265" s="1" t="s">
        <v>47</v>
      </c>
      <c r="T265" s="1" t="s">
        <v>48</v>
      </c>
      <c r="U265" s="1" t="s">
        <v>47</v>
      </c>
      <c r="V265" s="1" t="s">
        <v>47</v>
      </c>
      <c r="W265" s="1" t="s">
        <v>47</v>
      </c>
      <c r="Z265" s="1">
        <v>0</v>
      </c>
      <c r="AB265" s="1" t="s">
        <v>47</v>
      </c>
      <c r="AD265" s="1">
        <v>543483</v>
      </c>
      <c r="AF265" s="1" t="s">
        <v>47</v>
      </c>
      <c r="AG265" s="1" t="s">
        <v>47</v>
      </c>
      <c r="AH265" s="1" t="s">
        <v>49</v>
      </c>
      <c r="AI265" s="1" t="s">
        <v>47</v>
      </c>
      <c r="AK265" s="1" t="s">
        <v>48</v>
      </c>
      <c r="AL265" s="1" t="s">
        <v>930</v>
      </c>
    </row>
    <row r="266" spans="1:38">
      <c r="A266" s="1">
        <v>5137030</v>
      </c>
      <c r="B266" s="1" t="s">
        <v>931</v>
      </c>
      <c r="C266" s="1" t="str">
        <f>"9781292023786"</f>
        <v>9781292023786</v>
      </c>
      <c r="D266" s="1" t="str">
        <f>"9781292036915"</f>
        <v>9781292036915</v>
      </c>
      <c r="E266" s="1" t="s">
        <v>52</v>
      </c>
      <c r="F266" s="1" t="s">
        <v>40</v>
      </c>
      <c r="G266" s="3">
        <v>41515</v>
      </c>
      <c r="H266" s="3">
        <v>1</v>
      </c>
      <c r="I266" s="1" t="s">
        <v>41</v>
      </c>
      <c r="J266" s="1">
        <v>3</v>
      </c>
      <c r="L266" s="1" t="s">
        <v>932</v>
      </c>
      <c r="M266" s="1" t="s">
        <v>59</v>
      </c>
      <c r="O266" s="1">
        <v>658</v>
      </c>
      <c r="Q266" s="1" t="s">
        <v>46</v>
      </c>
      <c r="R266" s="1" t="s">
        <v>47</v>
      </c>
      <c r="S266" s="1" t="s">
        <v>47</v>
      </c>
      <c r="T266" s="1" t="s">
        <v>48</v>
      </c>
      <c r="U266" s="1" t="s">
        <v>47</v>
      </c>
      <c r="V266" s="1" t="s">
        <v>47</v>
      </c>
      <c r="W266" s="1" t="s">
        <v>47</v>
      </c>
      <c r="Z266" s="1">
        <v>0</v>
      </c>
      <c r="AB266" s="1" t="s">
        <v>47</v>
      </c>
      <c r="AD266" s="1">
        <v>527392</v>
      </c>
      <c r="AF266" s="1" t="s">
        <v>47</v>
      </c>
      <c r="AG266" s="1" t="s">
        <v>47</v>
      </c>
      <c r="AH266" s="1" t="s">
        <v>49</v>
      </c>
      <c r="AI266" s="1" t="s">
        <v>47</v>
      </c>
      <c r="AK266" s="1" t="s">
        <v>48</v>
      </c>
      <c r="AL266" s="1" t="s">
        <v>933</v>
      </c>
    </row>
    <row r="267" spans="1:38">
      <c r="A267" s="1">
        <v>5137031</v>
      </c>
      <c r="B267" s="1" t="s">
        <v>934</v>
      </c>
      <c r="C267" s="1" t="str">
        <f>"9780273725596"</f>
        <v>9780273725596</v>
      </c>
      <c r="D267" s="1" t="str">
        <f>"9780273725619"</f>
        <v>9780273725619</v>
      </c>
      <c r="E267" s="1" t="s">
        <v>52</v>
      </c>
      <c r="F267" s="1" t="s">
        <v>67</v>
      </c>
      <c r="G267" s="3">
        <v>40630</v>
      </c>
      <c r="H267" s="3">
        <v>1</v>
      </c>
      <c r="I267" s="1" t="s">
        <v>41</v>
      </c>
      <c r="J267" s="1">
        <v>6</v>
      </c>
      <c r="L267" s="1" t="s">
        <v>935</v>
      </c>
      <c r="M267" s="1" t="s">
        <v>59</v>
      </c>
      <c r="N267" s="1" t="s">
        <v>936</v>
      </c>
      <c r="O267" s="1" t="s">
        <v>937</v>
      </c>
      <c r="Q267" s="1" t="s">
        <v>46</v>
      </c>
      <c r="R267" s="1" t="s">
        <v>47</v>
      </c>
      <c r="S267" s="1" t="s">
        <v>47</v>
      </c>
      <c r="T267" s="1" t="s">
        <v>48</v>
      </c>
      <c r="U267" s="1" t="s">
        <v>47</v>
      </c>
      <c r="V267" s="1" t="s">
        <v>47</v>
      </c>
      <c r="W267" s="1" t="s">
        <v>47</v>
      </c>
      <c r="Z267" s="1">
        <v>0</v>
      </c>
      <c r="AB267" s="1" t="s">
        <v>47</v>
      </c>
      <c r="AD267" s="1">
        <v>305593</v>
      </c>
      <c r="AF267" s="1" t="s">
        <v>47</v>
      </c>
      <c r="AG267" s="1" t="s">
        <v>47</v>
      </c>
      <c r="AH267" s="1" t="s">
        <v>49</v>
      </c>
      <c r="AI267" s="1" t="s">
        <v>47</v>
      </c>
      <c r="AK267" s="1" t="s">
        <v>48</v>
      </c>
      <c r="AL267" s="1" t="s">
        <v>938</v>
      </c>
    </row>
    <row r="268" spans="1:38">
      <c r="A268" s="1">
        <v>5137040</v>
      </c>
      <c r="B268" s="1" t="s">
        <v>495</v>
      </c>
      <c r="C268" s="1" t="str">
        <f>"9781292023885"</f>
        <v>9781292023885</v>
      </c>
      <c r="D268" s="1" t="str">
        <f>"9781292036991"</f>
        <v>9781292036991</v>
      </c>
      <c r="E268" s="1" t="s">
        <v>52</v>
      </c>
      <c r="F268" s="1" t="s">
        <v>40</v>
      </c>
      <c r="G268" s="3">
        <v>41478</v>
      </c>
      <c r="H268" s="3">
        <v>1</v>
      </c>
      <c r="I268" s="1" t="s">
        <v>41</v>
      </c>
      <c r="J268" s="1">
        <v>2</v>
      </c>
      <c r="L268" s="1" t="s">
        <v>939</v>
      </c>
      <c r="M268" s="1" t="s">
        <v>242</v>
      </c>
      <c r="O268" s="1">
        <v>510</v>
      </c>
      <c r="Q268" s="1" t="s">
        <v>46</v>
      </c>
      <c r="R268" s="1" t="s">
        <v>47</v>
      </c>
      <c r="S268" s="1" t="s">
        <v>47</v>
      </c>
      <c r="T268" s="1" t="s">
        <v>48</v>
      </c>
      <c r="U268" s="1" t="s">
        <v>47</v>
      </c>
      <c r="V268" s="1" t="s">
        <v>47</v>
      </c>
      <c r="W268" s="1" t="s">
        <v>47</v>
      </c>
      <c r="Z268" s="1">
        <v>0</v>
      </c>
      <c r="AB268" s="1" t="s">
        <v>47</v>
      </c>
      <c r="AD268" s="1">
        <v>527279</v>
      </c>
      <c r="AF268" s="1" t="s">
        <v>47</v>
      </c>
      <c r="AG268" s="1" t="s">
        <v>47</v>
      </c>
      <c r="AH268" s="1" t="s">
        <v>49</v>
      </c>
      <c r="AI268" s="1" t="s">
        <v>47</v>
      </c>
      <c r="AK268" s="1" t="s">
        <v>48</v>
      </c>
      <c r="AL268" s="1" t="s">
        <v>940</v>
      </c>
    </row>
    <row r="269" spans="1:38">
      <c r="A269" s="1">
        <v>5137043</v>
      </c>
      <c r="B269" s="1" t="s">
        <v>941</v>
      </c>
      <c r="C269" s="1" t="str">
        <f>"9781292025773"</f>
        <v>9781292025773</v>
      </c>
      <c r="D269" s="1" t="str">
        <f>"9781292038193"</f>
        <v>9781292038193</v>
      </c>
      <c r="E269" s="1" t="s">
        <v>52</v>
      </c>
      <c r="F269" s="1" t="s">
        <v>40</v>
      </c>
      <c r="G269" s="3">
        <v>41515</v>
      </c>
      <c r="H269" s="3">
        <v>1</v>
      </c>
      <c r="I269" s="1" t="s">
        <v>41</v>
      </c>
      <c r="J269" s="1">
        <v>3</v>
      </c>
      <c r="L269" s="1" t="s">
        <v>942</v>
      </c>
      <c r="Q269" s="1" t="s">
        <v>46</v>
      </c>
      <c r="R269" s="1" t="s">
        <v>47</v>
      </c>
      <c r="S269" s="1" t="s">
        <v>47</v>
      </c>
      <c r="T269" s="1" t="s">
        <v>48</v>
      </c>
      <c r="U269" s="1" t="s">
        <v>47</v>
      </c>
      <c r="V269" s="1" t="s">
        <v>47</v>
      </c>
      <c r="W269" s="1" t="s">
        <v>47</v>
      </c>
      <c r="Z269" s="1">
        <v>0</v>
      </c>
      <c r="AB269" s="1" t="s">
        <v>47</v>
      </c>
      <c r="AD269" s="1">
        <v>527377</v>
      </c>
      <c r="AF269" s="1" t="s">
        <v>47</v>
      </c>
      <c r="AG269" s="1" t="s">
        <v>47</v>
      </c>
      <c r="AH269" s="1" t="s">
        <v>49</v>
      </c>
      <c r="AI269" s="1" t="s">
        <v>47</v>
      </c>
      <c r="AK269" s="1" t="s">
        <v>48</v>
      </c>
      <c r="AL269" s="1" t="s">
        <v>943</v>
      </c>
    </row>
    <row r="270" spans="1:38">
      <c r="A270" s="1">
        <v>5137048</v>
      </c>
      <c r="B270" s="1" t="s">
        <v>944</v>
      </c>
      <c r="C270" s="1" t="str">
        <f>"9781447929505"</f>
        <v>9781447929505</v>
      </c>
      <c r="D270" s="1" t="str">
        <f>"9781447929819"</f>
        <v>9781447929819</v>
      </c>
      <c r="E270" s="1" t="s">
        <v>52</v>
      </c>
      <c r="F270" s="1" t="s">
        <v>40</v>
      </c>
      <c r="G270" s="3">
        <v>41275</v>
      </c>
      <c r="H270" s="3">
        <v>1</v>
      </c>
      <c r="I270" s="1" t="s">
        <v>41</v>
      </c>
      <c r="J270" s="1">
        <v>2</v>
      </c>
      <c r="L270" s="1" t="s">
        <v>140</v>
      </c>
      <c r="M270" s="1" t="s">
        <v>945</v>
      </c>
      <c r="N270" s="1" t="s">
        <v>946</v>
      </c>
      <c r="O270" s="1">
        <v>158.19999999999999</v>
      </c>
      <c r="P270" s="1" t="s">
        <v>947</v>
      </c>
      <c r="Q270" s="1" t="s">
        <v>46</v>
      </c>
      <c r="R270" s="1" t="s">
        <v>47</v>
      </c>
      <c r="S270" s="1" t="s">
        <v>47</v>
      </c>
      <c r="T270" s="1" t="s">
        <v>48</v>
      </c>
      <c r="U270" s="1" t="s">
        <v>47</v>
      </c>
      <c r="V270" s="1" t="s">
        <v>47</v>
      </c>
      <c r="W270" s="1" t="s">
        <v>47</v>
      </c>
      <c r="Z270" s="1">
        <v>0</v>
      </c>
      <c r="AB270" s="1" t="s">
        <v>47</v>
      </c>
      <c r="AD270" s="1">
        <v>459582</v>
      </c>
      <c r="AF270" s="1" t="s">
        <v>47</v>
      </c>
      <c r="AG270" s="1" t="s">
        <v>47</v>
      </c>
      <c r="AH270" s="1" t="s">
        <v>49</v>
      </c>
      <c r="AI270" s="1" t="s">
        <v>47</v>
      </c>
      <c r="AK270" s="1" t="s">
        <v>48</v>
      </c>
      <c r="AL270" s="1" t="s">
        <v>948</v>
      </c>
    </row>
    <row r="271" spans="1:38">
      <c r="A271" s="1">
        <v>5137050</v>
      </c>
      <c r="B271" s="1" t="s">
        <v>949</v>
      </c>
      <c r="C271" s="1" t="str">
        <f>"9781447929529"</f>
        <v>9781447929529</v>
      </c>
      <c r="D271" s="1" t="str">
        <f>"9781447929901"</f>
        <v>9781447929901</v>
      </c>
      <c r="E271" s="1" t="s">
        <v>52</v>
      </c>
      <c r="F271" s="1" t="s">
        <v>40</v>
      </c>
      <c r="G271" s="3">
        <v>41373</v>
      </c>
      <c r="H271" s="3">
        <v>1</v>
      </c>
      <c r="I271" s="1" t="s">
        <v>41</v>
      </c>
      <c r="J271" s="1">
        <v>3</v>
      </c>
      <c r="L271" s="1" t="s">
        <v>140</v>
      </c>
      <c r="M271" s="1" t="s">
        <v>950</v>
      </c>
      <c r="N271" s="1" t="s">
        <v>951</v>
      </c>
      <c r="O271" s="1" t="s">
        <v>952</v>
      </c>
      <c r="Q271" s="1" t="s">
        <v>46</v>
      </c>
      <c r="R271" s="1" t="s">
        <v>47</v>
      </c>
      <c r="S271" s="1" t="s">
        <v>47</v>
      </c>
      <c r="T271" s="1" t="s">
        <v>48</v>
      </c>
      <c r="U271" s="1" t="s">
        <v>47</v>
      </c>
      <c r="V271" s="1" t="s">
        <v>47</v>
      </c>
      <c r="W271" s="1" t="s">
        <v>47</v>
      </c>
      <c r="Z271" s="1">
        <v>0</v>
      </c>
      <c r="AB271" s="1" t="s">
        <v>47</v>
      </c>
      <c r="AD271" s="1">
        <v>485125</v>
      </c>
      <c r="AF271" s="1" t="s">
        <v>47</v>
      </c>
      <c r="AG271" s="1" t="s">
        <v>47</v>
      </c>
      <c r="AH271" s="1" t="s">
        <v>49</v>
      </c>
      <c r="AI271" s="1" t="s">
        <v>47</v>
      </c>
      <c r="AK271" s="1" t="s">
        <v>48</v>
      </c>
      <c r="AL271" s="1" t="s">
        <v>953</v>
      </c>
    </row>
    <row r="272" spans="1:38">
      <c r="A272" s="1">
        <v>5137054</v>
      </c>
      <c r="B272" s="1" t="s">
        <v>954</v>
      </c>
      <c r="C272" s="1" t="str">
        <f>""</f>
        <v/>
      </c>
      <c r="D272" s="1" t="str">
        <f>"9780273775355"</f>
        <v>9780273775355</v>
      </c>
      <c r="E272" s="1" t="s">
        <v>52</v>
      </c>
      <c r="F272" s="1" t="s">
        <v>365</v>
      </c>
      <c r="G272" s="3">
        <v>41323</v>
      </c>
      <c r="H272" s="3">
        <v>1</v>
      </c>
      <c r="I272" s="1" t="s">
        <v>41</v>
      </c>
      <c r="J272" s="1">
        <v>10</v>
      </c>
      <c r="L272" s="1" t="s">
        <v>955</v>
      </c>
      <c r="Q272" s="1" t="s">
        <v>46</v>
      </c>
      <c r="R272" s="1" t="s">
        <v>47</v>
      </c>
      <c r="S272" s="1" t="s">
        <v>47</v>
      </c>
      <c r="T272" s="1" t="s">
        <v>48</v>
      </c>
      <c r="U272" s="1" t="s">
        <v>47</v>
      </c>
      <c r="V272" s="1" t="s">
        <v>47</v>
      </c>
      <c r="W272" s="1" t="s">
        <v>47</v>
      </c>
      <c r="Z272" s="1">
        <v>0</v>
      </c>
      <c r="AB272" s="1" t="s">
        <v>47</v>
      </c>
      <c r="AD272" s="1">
        <v>462979</v>
      </c>
      <c r="AF272" s="1" t="s">
        <v>47</v>
      </c>
      <c r="AG272" s="1" t="s">
        <v>47</v>
      </c>
      <c r="AH272" s="1" t="s">
        <v>49</v>
      </c>
      <c r="AI272" s="1" t="s">
        <v>47</v>
      </c>
      <c r="AK272" s="1" t="s">
        <v>48</v>
      </c>
      <c r="AL272" s="1" t="s">
        <v>956</v>
      </c>
    </row>
    <row r="273" spans="1:38">
      <c r="A273" s="1">
        <v>5137056</v>
      </c>
      <c r="B273" s="1" t="s">
        <v>957</v>
      </c>
      <c r="C273" s="1" t="str">
        <f>"9780273783473"</f>
        <v>9780273783473</v>
      </c>
      <c r="D273" s="1" t="str">
        <f>"9780273783503"</f>
        <v>9780273783503</v>
      </c>
      <c r="E273" s="1" t="s">
        <v>52</v>
      </c>
      <c r="F273" s="1" t="s">
        <v>40</v>
      </c>
      <c r="G273" s="3">
        <v>41459</v>
      </c>
      <c r="H273" s="3">
        <v>1</v>
      </c>
      <c r="I273" s="1" t="s">
        <v>41</v>
      </c>
      <c r="J273" s="1">
        <v>2</v>
      </c>
      <c r="L273" s="1" t="s">
        <v>958</v>
      </c>
      <c r="Q273" s="1" t="s">
        <v>46</v>
      </c>
      <c r="R273" s="1" t="s">
        <v>47</v>
      </c>
      <c r="S273" s="1" t="s">
        <v>47</v>
      </c>
      <c r="T273" s="1" t="s">
        <v>48</v>
      </c>
      <c r="U273" s="1" t="s">
        <v>47</v>
      </c>
      <c r="V273" s="1" t="s">
        <v>47</v>
      </c>
      <c r="W273" s="1" t="s">
        <v>47</v>
      </c>
      <c r="Z273" s="1">
        <v>0</v>
      </c>
      <c r="AB273" s="1" t="s">
        <v>47</v>
      </c>
      <c r="AD273" s="1">
        <v>502440</v>
      </c>
      <c r="AF273" s="1" t="s">
        <v>47</v>
      </c>
      <c r="AG273" s="1" t="s">
        <v>47</v>
      </c>
      <c r="AH273" s="1" t="s">
        <v>49</v>
      </c>
      <c r="AI273" s="1" t="s">
        <v>47</v>
      </c>
      <c r="AK273" s="1" t="s">
        <v>48</v>
      </c>
      <c r="AL273" s="1" t="s">
        <v>959</v>
      </c>
    </row>
    <row r="274" spans="1:38">
      <c r="A274" s="1">
        <v>5137058</v>
      </c>
      <c r="B274" s="1" t="s">
        <v>960</v>
      </c>
      <c r="C274" s="1" t="str">
        <f>"9781292021799"</f>
        <v>9781292021799</v>
      </c>
      <c r="D274" s="1" t="str">
        <f>"9781292035017"</f>
        <v>9781292035017</v>
      </c>
      <c r="E274" s="1" t="s">
        <v>52</v>
      </c>
      <c r="F274" s="1" t="s">
        <v>40</v>
      </c>
      <c r="G274" s="3">
        <v>41579</v>
      </c>
      <c r="H274" s="3">
        <v>1</v>
      </c>
      <c r="I274" s="1" t="s">
        <v>41</v>
      </c>
      <c r="J274" s="1">
        <v>9</v>
      </c>
      <c r="L274" s="1" t="s">
        <v>961</v>
      </c>
      <c r="Q274" s="1" t="s">
        <v>46</v>
      </c>
      <c r="R274" s="1" t="s">
        <v>47</v>
      </c>
      <c r="S274" s="1" t="s">
        <v>47</v>
      </c>
      <c r="T274" s="1" t="s">
        <v>48</v>
      </c>
      <c r="U274" s="1" t="s">
        <v>47</v>
      </c>
      <c r="V274" s="1" t="s">
        <v>47</v>
      </c>
      <c r="W274" s="1" t="s">
        <v>47</v>
      </c>
      <c r="Z274" s="1">
        <v>0</v>
      </c>
      <c r="AB274" s="1" t="s">
        <v>47</v>
      </c>
      <c r="AD274" s="1">
        <v>527016</v>
      </c>
      <c r="AF274" s="1" t="s">
        <v>47</v>
      </c>
      <c r="AG274" s="1" t="s">
        <v>47</v>
      </c>
      <c r="AH274" s="1" t="s">
        <v>49</v>
      </c>
      <c r="AI274" s="1" t="s">
        <v>47</v>
      </c>
      <c r="AK274" s="1" t="s">
        <v>48</v>
      </c>
      <c r="AL274" s="1" t="s">
        <v>962</v>
      </c>
    </row>
    <row r="275" spans="1:38">
      <c r="A275" s="1">
        <v>5137060</v>
      </c>
      <c r="B275" s="1" t="s">
        <v>412</v>
      </c>
      <c r="C275" s="1" t="str">
        <f>"9781292022154"</f>
        <v>9781292022154</v>
      </c>
      <c r="D275" s="1" t="str">
        <f>"9781292035352"</f>
        <v>9781292035352</v>
      </c>
      <c r="E275" s="1" t="s">
        <v>52</v>
      </c>
      <c r="F275" s="1" t="s">
        <v>40</v>
      </c>
      <c r="G275" s="3">
        <v>41513</v>
      </c>
      <c r="H275" s="3">
        <v>1</v>
      </c>
      <c r="I275" s="1" t="s">
        <v>41</v>
      </c>
      <c r="J275" s="1">
        <v>11</v>
      </c>
      <c r="L275" s="1" t="s">
        <v>963</v>
      </c>
      <c r="Q275" s="1" t="s">
        <v>46</v>
      </c>
      <c r="R275" s="1" t="s">
        <v>47</v>
      </c>
      <c r="S275" s="1" t="s">
        <v>47</v>
      </c>
      <c r="T275" s="1" t="s">
        <v>48</v>
      </c>
      <c r="U275" s="1" t="s">
        <v>47</v>
      </c>
      <c r="V275" s="1" t="s">
        <v>47</v>
      </c>
      <c r="W275" s="1" t="s">
        <v>47</v>
      </c>
      <c r="Z275" s="1">
        <v>0</v>
      </c>
      <c r="AB275" s="1" t="s">
        <v>47</v>
      </c>
      <c r="AD275" s="1">
        <v>527005</v>
      </c>
      <c r="AF275" s="1" t="s">
        <v>47</v>
      </c>
      <c r="AG275" s="1" t="s">
        <v>47</v>
      </c>
      <c r="AH275" s="1" t="s">
        <v>49</v>
      </c>
      <c r="AI275" s="1" t="s">
        <v>47</v>
      </c>
      <c r="AK275" s="1" t="s">
        <v>48</v>
      </c>
      <c r="AL275" s="1" t="s">
        <v>964</v>
      </c>
    </row>
    <row r="276" spans="1:38">
      <c r="A276" s="1">
        <v>5137061</v>
      </c>
      <c r="B276" s="1" t="s">
        <v>965</v>
      </c>
      <c r="C276" s="1" t="str">
        <f>"9781292020624"</f>
        <v>9781292020624</v>
      </c>
      <c r="D276" s="1" t="str">
        <f>"9781292033891"</f>
        <v>9781292033891</v>
      </c>
      <c r="E276" s="1" t="s">
        <v>52</v>
      </c>
      <c r="F276" s="1" t="s">
        <v>40</v>
      </c>
      <c r="G276" s="3">
        <v>41513</v>
      </c>
      <c r="H276" s="3">
        <v>1</v>
      </c>
      <c r="I276" s="1" t="s">
        <v>41</v>
      </c>
      <c r="J276" s="1">
        <v>4</v>
      </c>
      <c r="L276" s="1" t="s">
        <v>966</v>
      </c>
      <c r="Q276" s="1" t="s">
        <v>46</v>
      </c>
      <c r="R276" s="1" t="s">
        <v>47</v>
      </c>
      <c r="S276" s="1" t="s">
        <v>47</v>
      </c>
      <c r="T276" s="1" t="s">
        <v>48</v>
      </c>
      <c r="U276" s="1" t="s">
        <v>47</v>
      </c>
      <c r="V276" s="1" t="s">
        <v>47</v>
      </c>
      <c r="W276" s="1" t="s">
        <v>47</v>
      </c>
      <c r="Z276" s="1">
        <v>0</v>
      </c>
      <c r="AB276" s="1" t="s">
        <v>47</v>
      </c>
      <c r="AD276" s="1">
        <v>527383</v>
      </c>
      <c r="AF276" s="1" t="s">
        <v>47</v>
      </c>
      <c r="AG276" s="1" t="s">
        <v>47</v>
      </c>
      <c r="AH276" s="1" t="s">
        <v>49</v>
      </c>
      <c r="AI276" s="1" t="s">
        <v>47</v>
      </c>
      <c r="AK276" s="1" t="s">
        <v>48</v>
      </c>
      <c r="AL276" s="1" t="s">
        <v>967</v>
      </c>
    </row>
    <row r="277" spans="1:38">
      <c r="A277" s="1">
        <v>5137062</v>
      </c>
      <c r="B277" s="1" t="s">
        <v>968</v>
      </c>
      <c r="C277" s="1" t="str">
        <f>"9781292026305"</f>
        <v>9781292026305</v>
      </c>
      <c r="D277" s="1" t="str">
        <f>"9781292038698"</f>
        <v>9781292038698</v>
      </c>
      <c r="E277" s="1" t="s">
        <v>52</v>
      </c>
      <c r="F277" s="1" t="s">
        <v>40</v>
      </c>
      <c r="G277" s="3">
        <v>41515</v>
      </c>
      <c r="H277" s="3">
        <v>1</v>
      </c>
      <c r="I277" s="1" t="s">
        <v>41</v>
      </c>
      <c r="J277" s="1">
        <v>11</v>
      </c>
      <c r="L277" s="1" t="s">
        <v>969</v>
      </c>
      <c r="Q277" s="1" t="s">
        <v>46</v>
      </c>
      <c r="R277" s="1" t="s">
        <v>47</v>
      </c>
      <c r="S277" s="1" t="s">
        <v>47</v>
      </c>
      <c r="T277" s="1" t="s">
        <v>48</v>
      </c>
      <c r="U277" s="1" t="s">
        <v>47</v>
      </c>
      <c r="V277" s="1" t="s">
        <v>47</v>
      </c>
      <c r="W277" s="1" t="s">
        <v>47</v>
      </c>
      <c r="Z277" s="1">
        <v>0</v>
      </c>
      <c r="AB277" s="1" t="s">
        <v>47</v>
      </c>
      <c r="AD277" s="1">
        <v>527067</v>
      </c>
      <c r="AF277" s="1" t="s">
        <v>47</v>
      </c>
      <c r="AG277" s="1" t="s">
        <v>47</v>
      </c>
      <c r="AH277" s="1" t="s">
        <v>49</v>
      </c>
      <c r="AI277" s="1" t="s">
        <v>47</v>
      </c>
      <c r="AK277" s="1" t="s">
        <v>48</v>
      </c>
      <c r="AL277" s="1" t="s">
        <v>970</v>
      </c>
    </row>
    <row r="278" spans="1:38">
      <c r="A278" s="1">
        <v>5137063</v>
      </c>
      <c r="B278" s="1" t="s">
        <v>971</v>
      </c>
      <c r="C278" s="1" t="str">
        <f>"9781292022697"</f>
        <v>9781292022697</v>
      </c>
      <c r="D278" s="1" t="str">
        <f>"9781292035895"</f>
        <v>9781292035895</v>
      </c>
      <c r="E278" s="1" t="s">
        <v>52</v>
      </c>
      <c r="F278" s="1" t="s">
        <v>40</v>
      </c>
      <c r="G278" s="3">
        <v>41514</v>
      </c>
      <c r="H278" s="3">
        <v>1</v>
      </c>
      <c r="I278" s="1" t="s">
        <v>41</v>
      </c>
      <c r="J278" s="1">
        <v>4</v>
      </c>
      <c r="L278" s="1" t="s">
        <v>972</v>
      </c>
      <c r="Q278" s="1" t="s">
        <v>46</v>
      </c>
      <c r="R278" s="1" t="s">
        <v>47</v>
      </c>
      <c r="S278" s="1" t="s">
        <v>47</v>
      </c>
      <c r="T278" s="1" t="s">
        <v>48</v>
      </c>
      <c r="U278" s="1" t="s">
        <v>47</v>
      </c>
      <c r="V278" s="1" t="s">
        <v>47</v>
      </c>
      <c r="W278" s="1" t="s">
        <v>47</v>
      </c>
      <c r="Z278" s="1">
        <v>0</v>
      </c>
      <c r="AB278" s="1" t="s">
        <v>47</v>
      </c>
      <c r="AD278" s="1">
        <v>527329</v>
      </c>
      <c r="AF278" s="1" t="s">
        <v>47</v>
      </c>
      <c r="AG278" s="1" t="s">
        <v>47</v>
      </c>
      <c r="AH278" s="1" t="s">
        <v>49</v>
      </c>
      <c r="AI278" s="1" t="s">
        <v>47</v>
      </c>
      <c r="AK278" s="1" t="s">
        <v>48</v>
      </c>
      <c r="AL278" s="1" t="s">
        <v>973</v>
      </c>
    </row>
    <row r="279" spans="1:38">
      <c r="A279" s="1">
        <v>5137065</v>
      </c>
      <c r="B279" s="1" t="s">
        <v>974</v>
      </c>
      <c r="C279" s="1" t="str">
        <f>"9781292026244"</f>
        <v>9781292026244</v>
      </c>
      <c r="D279" s="1" t="str">
        <f>"9781292038643"</f>
        <v>9781292038643</v>
      </c>
      <c r="E279" s="1" t="s">
        <v>52</v>
      </c>
      <c r="F279" s="1" t="s">
        <v>40</v>
      </c>
      <c r="G279" s="3">
        <v>41515</v>
      </c>
      <c r="H279" s="3">
        <v>1</v>
      </c>
      <c r="I279" s="1" t="s">
        <v>41</v>
      </c>
      <c r="J279" s="1">
        <v>2</v>
      </c>
      <c r="L279" s="1" t="s">
        <v>975</v>
      </c>
      <c r="Q279" s="1" t="s">
        <v>46</v>
      </c>
      <c r="R279" s="1" t="s">
        <v>47</v>
      </c>
      <c r="S279" s="1" t="s">
        <v>47</v>
      </c>
      <c r="T279" s="1" t="s">
        <v>48</v>
      </c>
      <c r="U279" s="1" t="s">
        <v>47</v>
      </c>
      <c r="V279" s="1" t="s">
        <v>47</v>
      </c>
      <c r="W279" s="1" t="s">
        <v>47</v>
      </c>
      <c r="Z279" s="1">
        <v>0</v>
      </c>
      <c r="AB279" s="1" t="s">
        <v>47</v>
      </c>
      <c r="AD279" s="1">
        <v>527068</v>
      </c>
      <c r="AF279" s="1" t="s">
        <v>47</v>
      </c>
      <c r="AG279" s="1" t="s">
        <v>47</v>
      </c>
      <c r="AH279" s="1" t="s">
        <v>49</v>
      </c>
      <c r="AI279" s="1" t="s">
        <v>47</v>
      </c>
      <c r="AK279" s="1" t="s">
        <v>48</v>
      </c>
      <c r="AL279" s="1" t="s">
        <v>976</v>
      </c>
    </row>
    <row r="280" spans="1:38">
      <c r="A280" s="1">
        <v>5137066</v>
      </c>
      <c r="B280" s="1" t="s">
        <v>412</v>
      </c>
      <c r="C280" s="1" t="str">
        <f>"9781292022185"</f>
        <v>9781292022185</v>
      </c>
      <c r="D280" s="1" t="str">
        <f>"9781292035383"</f>
        <v>9781292035383</v>
      </c>
      <c r="E280" s="1" t="s">
        <v>52</v>
      </c>
      <c r="F280" s="1" t="s">
        <v>40</v>
      </c>
      <c r="G280" s="3">
        <v>41513</v>
      </c>
      <c r="H280" s="3">
        <v>1</v>
      </c>
      <c r="I280" s="1" t="s">
        <v>41</v>
      </c>
      <c r="J280" s="1">
        <v>3</v>
      </c>
      <c r="L280" s="1" t="s">
        <v>975</v>
      </c>
      <c r="M280" s="1" t="s">
        <v>422</v>
      </c>
      <c r="O280" s="1">
        <v>540</v>
      </c>
      <c r="Q280" s="1" t="s">
        <v>46</v>
      </c>
      <c r="R280" s="1" t="s">
        <v>47</v>
      </c>
      <c r="S280" s="1" t="s">
        <v>47</v>
      </c>
      <c r="T280" s="1" t="s">
        <v>48</v>
      </c>
      <c r="U280" s="1" t="s">
        <v>47</v>
      </c>
      <c r="V280" s="1" t="s">
        <v>47</v>
      </c>
      <c r="W280" s="1" t="s">
        <v>47</v>
      </c>
      <c r="Z280" s="1">
        <v>0</v>
      </c>
      <c r="AB280" s="1" t="s">
        <v>47</v>
      </c>
      <c r="AD280" s="1">
        <v>527408</v>
      </c>
      <c r="AF280" s="1" t="s">
        <v>47</v>
      </c>
      <c r="AG280" s="1" t="s">
        <v>47</v>
      </c>
      <c r="AH280" s="1" t="s">
        <v>49</v>
      </c>
      <c r="AI280" s="1" t="s">
        <v>47</v>
      </c>
      <c r="AK280" s="1" t="s">
        <v>48</v>
      </c>
      <c r="AL280" s="1" t="s">
        <v>977</v>
      </c>
    </row>
    <row r="281" spans="1:38">
      <c r="A281" s="1">
        <v>5137067</v>
      </c>
      <c r="B281" s="1" t="s">
        <v>978</v>
      </c>
      <c r="C281" s="1" t="str">
        <f>"9781292024264"</f>
        <v>9781292024264</v>
      </c>
      <c r="D281" s="1" t="str">
        <f>"9781292037202"</f>
        <v>9781292037202</v>
      </c>
      <c r="E281" s="1" t="s">
        <v>52</v>
      </c>
      <c r="F281" s="1" t="s">
        <v>40</v>
      </c>
      <c r="G281" s="3">
        <v>41515</v>
      </c>
      <c r="H281" s="3">
        <v>1</v>
      </c>
      <c r="I281" s="1" t="s">
        <v>41</v>
      </c>
      <c r="J281" s="1">
        <v>9</v>
      </c>
      <c r="L281" s="1" t="s">
        <v>979</v>
      </c>
      <c r="Q281" s="1" t="s">
        <v>46</v>
      </c>
      <c r="R281" s="1" t="s">
        <v>47</v>
      </c>
      <c r="S281" s="1" t="s">
        <v>47</v>
      </c>
      <c r="T281" s="1" t="s">
        <v>48</v>
      </c>
      <c r="U281" s="1" t="s">
        <v>47</v>
      </c>
      <c r="V281" s="1" t="s">
        <v>47</v>
      </c>
      <c r="W281" s="1" t="s">
        <v>47</v>
      </c>
      <c r="Z281" s="1">
        <v>0</v>
      </c>
      <c r="AB281" s="1" t="s">
        <v>47</v>
      </c>
      <c r="AD281" s="1">
        <v>527142</v>
      </c>
      <c r="AF281" s="1" t="s">
        <v>47</v>
      </c>
      <c r="AG281" s="1" t="s">
        <v>47</v>
      </c>
      <c r="AH281" s="1" t="s">
        <v>49</v>
      </c>
      <c r="AI281" s="1" t="s">
        <v>47</v>
      </c>
      <c r="AK281" s="1" t="s">
        <v>48</v>
      </c>
      <c r="AL281" s="1" t="s">
        <v>980</v>
      </c>
    </row>
    <row r="282" spans="1:38">
      <c r="A282" s="1">
        <v>5137069</v>
      </c>
      <c r="B282" s="1" t="s">
        <v>981</v>
      </c>
      <c r="C282" s="1" t="str">
        <f>"9781292025711"</f>
        <v>9781292025711</v>
      </c>
      <c r="D282" s="1" t="str">
        <f>"9781292038148"</f>
        <v>9781292038148</v>
      </c>
      <c r="E282" s="1" t="s">
        <v>52</v>
      </c>
      <c r="F282" s="1" t="s">
        <v>40</v>
      </c>
      <c r="G282" s="3">
        <v>41515</v>
      </c>
      <c r="H282" s="3">
        <v>1</v>
      </c>
      <c r="I282" s="1" t="s">
        <v>41</v>
      </c>
      <c r="J282" s="1">
        <v>6</v>
      </c>
      <c r="L282" s="1" t="s">
        <v>982</v>
      </c>
      <c r="Q282" s="1" t="s">
        <v>46</v>
      </c>
      <c r="R282" s="1" t="s">
        <v>47</v>
      </c>
      <c r="S282" s="1" t="s">
        <v>47</v>
      </c>
      <c r="T282" s="1" t="s">
        <v>48</v>
      </c>
      <c r="U282" s="1" t="s">
        <v>47</v>
      </c>
      <c r="V282" s="1" t="s">
        <v>47</v>
      </c>
      <c r="W282" s="1" t="s">
        <v>47</v>
      </c>
      <c r="Z282" s="1">
        <v>0</v>
      </c>
      <c r="AB282" s="1" t="s">
        <v>47</v>
      </c>
      <c r="AD282" s="1">
        <v>527259</v>
      </c>
      <c r="AF282" s="1" t="s">
        <v>47</v>
      </c>
      <c r="AG282" s="1" t="s">
        <v>47</v>
      </c>
      <c r="AH282" s="1" t="s">
        <v>49</v>
      </c>
      <c r="AI282" s="1" t="s">
        <v>47</v>
      </c>
      <c r="AK282" s="1" t="s">
        <v>48</v>
      </c>
      <c r="AL282" s="1" t="s">
        <v>983</v>
      </c>
    </row>
    <row r="283" spans="1:38">
      <c r="A283" s="1">
        <v>5137070</v>
      </c>
      <c r="B283" s="1" t="s">
        <v>984</v>
      </c>
      <c r="C283" s="1" t="str">
        <f>"9781292023496"</f>
        <v>9781292023496</v>
      </c>
      <c r="D283" s="1" t="str">
        <f>"9781292036663"</f>
        <v>9781292036663</v>
      </c>
      <c r="E283" s="1" t="s">
        <v>52</v>
      </c>
      <c r="F283" s="1" t="s">
        <v>40</v>
      </c>
      <c r="G283" s="3">
        <v>41514</v>
      </c>
      <c r="H283" s="3">
        <v>1</v>
      </c>
      <c r="I283" s="1" t="s">
        <v>41</v>
      </c>
      <c r="J283" s="1">
        <v>5</v>
      </c>
      <c r="L283" s="1" t="s">
        <v>985</v>
      </c>
      <c r="Q283" s="1" t="s">
        <v>46</v>
      </c>
      <c r="R283" s="1" t="s">
        <v>47</v>
      </c>
      <c r="S283" s="1" t="s">
        <v>47</v>
      </c>
      <c r="T283" s="1" t="s">
        <v>48</v>
      </c>
      <c r="U283" s="1" t="s">
        <v>47</v>
      </c>
      <c r="V283" s="1" t="s">
        <v>47</v>
      </c>
      <c r="W283" s="1" t="s">
        <v>47</v>
      </c>
      <c r="Z283" s="1">
        <v>0</v>
      </c>
      <c r="AB283" s="1" t="s">
        <v>47</v>
      </c>
      <c r="AD283" s="1">
        <v>527105</v>
      </c>
      <c r="AF283" s="1" t="s">
        <v>47</v>
      </c>
      <c r="AG283" s="1" t="s">
        <v>47</v>
      </c>
      <c r="AH283" s="1" t="s">
        <v>49</v>
      </c>
      <c r="AI283" s="1" t="s">
        <v>47</v>
      </c>
      <c r="AK283" s="1" t="s">
        <v>48</v>
      </c>
      <c r="AL283" s="1" t="s">
        <v>986</v>
      </c>
    </row>
    <row r="284" spans="1:38">
      <c r="A284" s="1">
        <v>5137071</v>
      </c>
      <c r="B284" s="1" t="s">
        <v>987</v>
      </c>
      <c r="C284" s="1" t="str">
        <f>"9781292021072"</f>
        <v>9781292021072</v>
      </c>
      <c r="D284" s="1" t="str">
        <f>"9781292034324"</f>
        <v>9781292034324</v>
      </c>
      <c r="E284" s="1" t="s">
        <v>52</v>
      </c>
      <c r="F284" s="1" t="s">
        <v>40</v>
      </c>
      <c r="G284" s="3">
        <v>41513</v>
      </c>
      <c r="H284" s="3">
        <v>1</v>
      </c>
      <c r="I284" s="1" t="s">
        <v>41</v>
      </c>
      <c r="J284" s="1">
        <v>8</v>
      </c>
      <c r="L284" s="1" t="s">
        <v>988</v>
      </c>
      <c r="M284" s="1" t="s">
        <v>989</v>
      </c>
      <c r="N284" s="1" t="s">
        <v>990</v>
      </c>
      <c r="O284" s="1">
        <v>372.70440000000002</v>
      </c>
      <c r="Q284" s="1" t="s">
        <v>46</v>
      </c>
      <c r="R284" s="1" t="s">
        <v>47</v>
      </c>
      <c r="S284" s="1" t="s">
        <v>47</v>
      </c>
      <c r="T284" s="1" t="s">
        <v>48</v>
      </c>
      <c r="U284" s="1" t="s">
        <v>47</v>
      </c>
      <c r="V284" s="1" t="s">
        <v>47</v>
      </c>
      <c r="W284" s="1" t="s">
        <v>47</v>
      </c>
      <c r="Z284" s="1">
        <v>0</v>
      </c>
      <c r="AB284" s="1" t="s">
        <v>47</v>
      </c>
      <c r="AD284" s="1">
        <v>526962</v>
      </c>
      <c r="AF284" s="1" t="s">
        <v>47</v>
      </c>
      <c r="AG284" s="1" t="s">
        <v>47</v>
      </c>
      <c r="AH284" s="1" t="s">
        <v>49</v>
      </c>
      <c r="AI284" s="1" t="s">
        <v>47</v>
      </c>
      <c r="AK284" s="1" t="s">
        <v>48</v>
      </c>
      <c r="AL284" s="1" t="s">
        <v>991</v>
      </c>
    </row>
    <row r="285" spans="1:38">
      <c r="A285" s="1">
        <v>5137073</v>
      </c>
      <c r="B285" s="1" t="s">
        <v>420</v>
      </c>
      <c r="C285" s="1" t="str">
        <f>"9781292021652"</f>
        <v>9781292021652</v>
      </c>
      <c r="D285" s="1" t="str">
        <f>"9781292034881"</f>
        <v>9781292034881</v>
      </c>
      <c r="E285" s="1" t="s">
        <v>52</v>
      </c>
      <c r="F285" s="1" t="s">
        <v>40</v>
      </c>
      <c r="G285" s="3">
        <v>41513</v>
      </c>
      <c r="H285" s="3">
        <v>1</v>
      </c>
      <c r="I285" s="1" t="s">
        <v>41</v>
      </c>
      <c r="J285" s="1">
        <v>8</v>
      </c>
      <c r="L285" s="1" t="s">
        <v>992</v>
      </c>
      <c r="Q285" s="1" t="s">
        <v>46</v>
      </c>
      <c r="R285" s="1" t="s">
        <v>47</v>
      </c>
      <c r="S285" s="1" t="s">
        <v>47</v>
      </c>
      <c r="T285" s="1" t="s">
        <v>48</v>
      </c>
      <c r="U285" s="1" t="s">
        <v>47</v>
      </c>
      <c r="V285" s="1" t="s">
        <v>47</v>
      </c>
      <c r="W285" s="1" t="s">
        <v>47</v>
      </c>
      <c r="Z285" s="1">
        <v>0</v>
      </c>
      <c r="AB285" s="1" t="s">
        <v>47</v>
      </c>
      <c r="AD285" s="1">
        <v>527192</v>
      </c>
      <c r="AF285" s="1" t="s">
        <v>47</v>
      </c>
      <c r="AG285" s="1" t="s">
        <v>47</v>
      </c>
      <c r="AH285" s="1" t="s">
        <v>49</v>
      </c>
      <c r="AI285" s="1" t="s">
        <v>47</v>
      </c>
      <c r="AK285" s="1" t="s">
        <v>48</v>
      </c>
      <c r="AL285" s="1" t="s">
        <v>993</v>
      </c>
    </row>
    <row r="286" spans="1:38">
      <c r="A286" s="1">
        <v>5137080</v>
      </c>
      <c r="B286" s="1" t="s">
        <v>994</v>
      </c>
      <c r="C286" s="1" t="str">
        <f>"9780273725251"</f>
        <v>9780273725251</v>
      </c>
      <c r="D286" s="1" t="str">
        <f>"9780273725275"</f>
        <v>9780273725275</v>
      </c>
      <c r="E286" s="1" t="s">
        <v>52</v>
      </c>
      <c r="F286" s="1" t="s">
        <v>67</v>
      </c>
      <c r="G286" s="3">
        <v>40317</v>
      </c>
      <c r="H286" s="3">
        <v>1</v>
      </c>
      <c r="I286" s="1" t="s">
        <v>41</v>
      </c>
      <c r="J286" s="1">
        <v>5</v>
      </c>
      <c r="L286" s="1" t="s">
        <v>995</v>
      </c>
      <c r="M286" s="1" t="s">
        <v>59</v>
      </c>
      <c r="N286" s="1" t="s">
        <v>996</v>
      </c>
      <c r="O286" s="1">
        <v>658.15</v>
      </c>
      <c r="Q286" s="1" t="s">
        <v>46</v>
      </c>
      <c r="R286" s="1" t="s">
        <v>47</v>
      </c>
      <c r="S286" s="1" t="s">
        <v>47</v>
      </c>
      <c r="T286" s="1" t="s">
        <v>48</v>
      </c>
      <c r="U286" s="1" t="s">
        <v>47</v>
      </c>
      <c r="V286" s="1" t="s">
        <v>47</v>
      </c>
      <c r="W286" s="1" t="s">
        <v>47</v>
      </c>
      <c r="Z286" s="1">
        <v>0</v>
      </c>
      <c r="AB286" s="1" t="s">
        <v>47</v>
      </c>
      <c r="AD286" s="1">
        <v>255759</v>
      </c>
      <c r="AF286" s="1" t="s">
        <v>47</v>
      </c>
      <c r="AG286" s="1" t="s">
        <v>47</v>
      </c>
      <c r="AH286" s="1" t="s">
        <v>49</v>
      </c>
      <c r="AI286" s="1" t="s">
        <v>47</v>
      </c>
      <c r="AK286" s="1" t="s">
        <v>48</v>
      </c>
      <c r="AL286" s="1" t="s">
        <v>997</v>
      </c>
    </row>
    <row r="287" spans="1:38">
      <c r="A287" s="1">
        <v>5137081</v>
      </c>
      <c r="B287" s="1" t="s">
        <v>998</v>
      </c>
      <c r="C287" s="1" t="str">
        <f>"9780273762744"</f>
        <v>9780273762744</v>
      </c>
      <c r="D287" s="1" t="str">
        <f>"9780273762867"</f>
        <v>9780273762867</v>
      </c>
      <c r="E287" s="1" t="s">
        <v>52</v>
      </c>
      <c r="F287" s="1" t="s">
        <v>40</v>
      </c>
      <c r="G287" s="3">
        <v>41305</v>
      </c>
      <c r="H287" s="3">
        <v>1</v>
      </c>
      <c r="I287" s="1" t="s">
        <v>41</v>
      </c>
      <c r="J287" s="1">
        <v>6</v>
      </c>
      <c r="L287" s="1" t="s">
        <v>995</v>
      </c>
      <c r="M287" s="1" t="s">
        <v>59</v>
      </c>
      <c r="N287" s="1" t="s">
        <v>999</v>
      </c>
      <c r="O287" s="1">
        <v>658.15</v>
      </c>
      <c r="P287" s="1" t="s">
        <v>1000</v>
      </c>
      <c r="Q287" s="1" t="s">
        <v>46</v>
      </c>
      <c r="R287" s="1" t="s">
        <v>47</v>
      </c>
      <c r="S287" s="1" t="s">
        <v>47</v>
      </c>
      <c r="T287" s="1" t="s">
        <v>48</v>
      </c>
      <c r="U287" s="1" t="s">
        <v>47</v>
      </c>
      <c r="V287" s="1" t="s">
        <v>47</v>
      </c>
      <c r="W287" s="1" t="s">
        <v>47</v>
      </c>
      <c r="Z287" s="1">
        <v>0</v>
      </c>
      <c r="AB287" s="1" t="s">
        <v>47</v>
      </c>
      <c r="AD287" s="1">
        <v>459559</v>
      </c>
      <c r="AF287" s="1" t="s">
        <v>47</v>
      </c>
      <c r="AG287" s="1" t="s">
        <v>47</v>
      </c>
      <c r="AH287" s="1" t="s">
        <v>49</v>
      </c>
      <c r="AI287" s="1" t="s">
        <v>47</v>
      </c>
      <c r="AK287" s="1" t="s">
        <v>48</v>
      </c>
      <c r="AL287" s="1" t="s">
        <v>1001</v>
      </c>
    </row>
    <row r="288" spans="1:38">
      <c r="A288" s="1">
        <v>5137087</v>
      </c>
      <c r="B288" s="1" t="s">
        <v>1002</v>
      </c>
      <c r="C288" s="1" t="str">
        <f>"9781292039824"</f>
        <v>9781292039824</v>
      </c>
      <c r="D288" s="1" t="str">
        <f>"9781292055961"</f>
        <v>9781292055961</v>
      </c>
      <c r="E288" s="1" t="s">
        <v>52</v>
      </c>
      <c r="F288" s="1" t="s">
        <v>40</v>
      </c>
      <c r="G288" s="3">
        <v>41550</v>
      </c>
      <c r="H288" s="3">
        <v>1</v>
      </c>
      <c r="I288" s="1" t="s">
        <v>41</v>
      </c>
      <c r="J288" s="1">
        <v>5</v>
      </c>
      <c r="L288" s="1" t="s">
        <v>1003</v>
      </c>
      <c r="Q288" s="1" t="s">
        <v>46</v>
      </c>
      <c r="R288" s="1" t="s">
        <v>47</v>
      </c>
      <c r="S288" s="1" t="s">
        <v>47</v>
      </c>
      <c r="T288" s="1" t="s">
        <v>48</v>
      </c>
      <c r="U288" s="1" t="s">
        <v>47</v>
      </c>
      <c r="V288" s="1" t="s">
        <v>47</v>
      </c>
      <c r="W288" s="1" t="s">
        <v>47</v>
      </c>
      <c r="Z288" s="1">
        <v>0</v>
      </c>
      <c r="AB288" s="1" t="s">
        <v>47</v>
      </c>
      <c r="AD288" s="1">
        <v>543559</v>
      </c>
      <c r="AF288" s="1" t="s">
        <v>47</v>
      </c>
      <c r="AG288" s="1" t="s">
        <v>47</v>
      </c>
      <c r="AH288" s="1" t="s">
        <v>49</v>
      </c>
      <c r="AI288" s="1" t="s">
        <v>47</v>
      </c>
      <c r="AK288" s="1" t="s">
        <v>48</v>
      </c>
      <c r="AL288" s="1" t="s">
        <v>1004</v>
      </c>
    </row>
    <row r="289" spans="1:38">
      <c r="A289" s="1">
        <v>5137088</v>
      </c>
      <c r="B289" s="1" t="s">
        <v>1005</v>
      </c>
      <c r="C289" s="1" t="str">
        <f>"9781408245477"</f>
        <v>9781408245477</v>
      </c>
      <c r="D289" s="1" t="str">
        <f>"9781408245507"</f>
        <v>9781408245507</v>
      </c>
      <c r="E289" s="1" t="s">
        <v>52</v>
      </c>
      <c r="F289" s="1" t="s">
        <v>40</v>
      </c>
      <c r="G289" s="3">
        <v>41004</v>
      </c>
      <c r="H289" s="3">
        <v>1</v>
      </c>
      <c r="I289" s="1" t="s">
        <v>41</v>
      </c>
      <c r="J289" s="1">
        <v>5</v>
      </c>
      <c r="L289" s="1" t="s">
        <v>1006</v>
      </c>
      <c r="M289" s="1" t="s">
        <v>690</v>
      </c>
      <c r="O289" s="1">
        <v>570.721</v>
      </c>
      <c r="P289" s="1" t="s">
        <v>692</v>
      </c>
      <c r="Q289" s="1" t="s">
        <v>46</v>
      </c>
      <c r="R289" s="1" t="s">
        <v>47</v>
      </c>
      <c r="S289" s="1" t="s">
        <v>47</v>
      </c>
      <c r="T289" s="1" t="s">
        <v>48</v>
      </c>
      <c r="U289" s="1" t="s">
        <v>47</v>
      </c>
      <c r="V289" s="1" t="s">
        <v>47</v>
      </c>
      <c r="W289" s="1" t="s">
        <v>47</v>
      </c>
      <c r="Z289" s="1">
        <v>0</v>
      </c>
      <c r="AB289" s="1" t="s">
        <v>47</v>
      </c>
      <c r="AD289" s="1">
        <v>385398</v>
      </c>
      <c r="AF289" s="1" t="s">
        <v>47</v>
      </c>
      <c r="AG289" s="1" t="s">
        <v>47</v>
      </c>
      <c r="AH289" s="1" t="s">
        <v>49</v>
      </c>
      <c r="AI289" s="1" t="s">
        <v>47</v>
      </c>
      <c r="AK289" s="1" t="s">
        <v>48</v>
      </c>
      <c r="AL289" s="1" t="s">
        <v>1007</v>
      </c>
    </row>
    <row r="290" spans="1:38">
      <c r="A290" s="1">
        <v>5137089</v>
      </c>
      <c r="B290" s="1" t="s">
        <v>1008</v>
      </c>
      <c r="C290" s="1" t="str">
        <f>"9781408245521"</f>
        <v>9781408245521</v>
      </c>
      <c r="D290" s="1" t="str">
        <f>"9781408245552"</f>
        <v>9781408245552</v>
      </c>
      <c r="E290" s="1" t="s">
        <v>52</v>
      </c>
      <c r="F290" s="1" t="s">
        <v>40</v>
      </c>
      <c r="G290" s="3">
        <v>41311</v>
      </c>
      <c r="H290" s="3">
        <v>1</v>
      </c>
      <c r="I290" s="1" t="s">
        <v>41</v>
      </c>
      <c r="J290" s="1">
        <v>4</v>
      </c>
      <c r="L290" s="1" t="s">
        <v>1009</v>
      </c>
      <c r="M290" s="1" t="s">
        <v>1010</v>
      </c>
      <c r="N290" s="1" t="s">
        <v>1011</v>
      </c>
      <c r="O290" s="1">
        <v>572.79999999999995</v>
      </c>
      <c r="Q290" s="1" t="s">
        <v>46</v>
      </c>
      <c r="R290" s="1" t="s">
        <v>47</v>
      </c>
      <c r="S290" s="1" t="s">
        <v>47</v>
      </c>
      <c r="T290" s="1" t="s">
        <v>48</v>
      </c>
      <c r="U290" s="1" t="s">
        <v>47</v>
      </c>
      <c r="V290" s="1" t="s">
        <v>47</v>
      </c>
      <c r="W290" s="1" t="s">
        <v>47</v>
      </c>
      <c r="Z290" s="1">
        <v>0</v>
      </c>
      <c r="AB290" s="1" t="s">
        <v>47</v>
      </c>
      <c r="AD290" s="1">
        <v>463009</v>
      </c>
      <c r="AF290" s="1" t="s">
        <v>47</v>
      </c>
      <c r="AG290" s="1" t="s">
        <v>47</v>
      </c>
      <c r="AH290" s="1" t="s">
        <v>49</v>
      </c>
      <c r="AI290" s="1" t="s">
        <v>47</v>
      </c>
      <c r="AK290" s="1" t="s">
        <v>48</v>
      </c>
      <c r="AL290" s="1" t="s">
        <v>1012</v>
      </c>
    </row>
    <row r="291" spans="1:38">
      <c r="A291" s="1">
        <v>5137091</v>
      </c>
      <c r="B291" s="1" t="s">
        <v>1013</v>
      </c>
      <c r="C291" s="1" t="str">
        <f>"9781292022222"</f>
        <v>9781292022222</v>
      </c>
      <c r="D291" s="1" t="str">
        <f>"9781292035420"</f>
        <v>9781292035420</v>
      </c>
      <c r="E291" s="1" t="s">
        <v>52</v>
      </c>
      <c r="F291" s="1" t="s">
        <v>40</v>
      </c>
      <c r="G291" s="3">
        <v>41493</v>
      </c>
      <c r="H291" s="3">
        <v>1</v>
      </c>
      <c r="I291" s="1" t="s">
        <v>41</v>
      </c>
      <c r="J291" s="1">
        <v>8</v>
      </c>
      <c r="L291" s="1" t="s">
        <v>1014</v>
      </c>
      <c r="M291" s="1" t="s">
        <v>482</v>
      </c>
      <c r="O291" s="1">
        <v>618.9289</v>
      </c>
      <c r="Q291" s="1" t="s">
        <v>46</v>
      </c>
      <c r="R291" s="1" t="s">
        <v>47</v>
      </c>
      <c r="S291" s="1" t="s">
        <v>47</v>
      </c>
      <c r="T291" s="1" t="s">
        <v>48</v>
      </c>
      <c r="U291" s="1" t="s">
        <v>47</v>
      </c>
      <c r="V291" s="1" t="s">
        <v>47</v>
      </c>
      <c r="W291" s="1" t="s">
        <v>47</v>
      </c>
      <c r="Z291" s="1">
        <v>0</v>
      </c>
      <c r="AB291" s="1" t="s">
        <v>47</v>
      </c>
      <c r="AD291" s="1">
        <v>527208</v>
      </c>
      <c r="AF291" s="1" t="s">
        <v>47</v>
      </c>
      <c r="AG291" s="1" t="s">
        <v>47</v>
      </c>
      <c r="AH291" s="1" t="s">
        <v>49</v>
      </c>
      <c r="AI291" s="1" t="s">
        <v>47</v>
      </c>
      <c r="AK291" s="1" t="s">
        <v>48</v>
      </c>
      <c r="AL291" s="1" t="s">
        <v>1015</v>
      </c>
    </row>
    <row r="292" spans="1:38">
      <c r="A292" s="1">
        <v>5137092</v>
      </c>
      <c r="B292" s="1" t="s">
        <v>1016</v>
      </c>
      <c r="C292" s="1" t="str">
        <f>"9781292025322"</f>
        <v>9781292025322</v>
      </c>
      <c r="D292" s="1" t="str">
        <f>"9781292037882"</f>
        <v>9781292037882</v>
      </c>
      <c r="E292" s="1" t="s">
        <v>52</v>
      </c>
      <c r="F292" s="1" t="s">
        <v>40</v>
      </c>
      <c r="G292" s="3">
        <v>41515</v>
      </c>
      <c r="H292" s="3">
        <v>1</v>
      </c>
      <c r="I292" s="1" t="s">
        <v>41</v>
      </c>
      <c r="J292" s="1">
        <v>10</v>
      </c>
      <c r="L292" s="1" t="s">
        <v>1017</v>
      </c>
      <c r="Q292" s="1" t="s">
        <v>46</v>
      </c>
      <c r="R292" s="1" t="s">
        <v>47</v>
      </c>
      <c r="S292" s="1" t="s">
        <v>47</v>
      </c>
      <c r="T292" s="1" t="s">
        <v>48</v>
      </c>
      <c r="U292" s="1" t="s">
        <v>47</v>
      </c>
      <c r="V292" s="1" t="s">
        <v>47</v>
      </c>
      <c r="W292" s="1" t="s">
        <v>47</v>
      </c>
      <c r="Z292" s="1">
        <v>0</v>
      </c>
      <c r="AB292" s="1" t="s">
        <v>47</v>
      </c>
      <c r="AD292" s="1">
        <v>527378</v>
      </c>
      <c r="AF292" s="1" t="s">
        <v>47</v>
      </c>
      <c r="AG292" s="1" t="s">
        <v>47</v>
      </c>
      <c r="AH292" s="1" t="s">
        <v>49</v>
      </c>
      <c r="AI292" s="1" t="s">
        <v>47</v>
      </c>
      <c r="AK292" s="1" t="s">
        <v>48</v>
      </c>
      <c r="AL292" s="1" t="s">
        <v>1018</v>
      </c>
    </row>
    <row r="293" spans="1:38">
      <c r="A293" s="1">
        <v>5137094</v>
      </c>
      <c r="B293" s="1" t="s">
        <v>1019</v>
      </c>
      <c r="C293" s="1" t="str">
        <f>"9781447923107"</f>
        <v>9781447923107</v>
      </c>
      <c r="D293" s="1" t="str">
        <f>"9781447923121"</f>
        <v>9781447923121</v>
      </c>
      <c r="E293" s="1" t="s">
        <v>52</v>
      </c>
      <c r="F293" s="1" t="s">
        <v>40</v>
      </c>
      <c r="G293" s="3">
        <v>41495</v>
      </c>
      <c r="H293" s="3">
        <v>1</v>
      </c>
      <c r="I293" s="1" t="s">
        <v>41</v>
      </c>
      <c r="J293" s="1">
        <v>16</v>
      </c>
      <c r="L293" s="1" t="s">
        <v>1020</v>
      </c>
      <c r="M293" s="1" t="s">
        <v>162</v>
      </c>
      <c r="N293" s="1" t="s">
        <v>1021</v>
      </c>
      <c r="O293" s="1">
        <v>346.42066</v>
      </c>
      <c r="Q293" s="1" t="s">
        <v>46</v>
      </c>
      <c r="R293" s="1" t="s">
        <v>47</v>
      </c>
      <c r="S293" s="1" t="s">
        <v>47</v>
      </c>
      <c r="T293" s="1" t="s">
        <v>48</v>
      </c>
      <c r="U293" s="1" t="s">
        <v>47</v>
      </c>
      <c r="V293" s="1" t="s">
        <v>47</v>
      </c>
      <c r="W293" s="1" t="s">
        <v>47</v>
      </c>
      <c r="Z293" s="1">
        <v>0</v>
      </c>
      <c r="AB293" s="1" t="s">
        <v>47</v>
      </c>
      <c r="AD293" s="1">
        <v>515963</v>
      </c>
      <c r="AF293" s="1" t="s">
        <v>47</v>
      </c>
      <c r="AG293" s="1" t="s">
        <v>47</v>
      </c>
      <c r="AH293" s="1" t="s">
        <v>49</v>
      </c>
      <c r="AI293" s="1" t="s">
        <v>47</v>
      </c>
      <c r="AK293" s="1" t="s">
        <v>48</v>
      </c>
      <c r="AL293" s="1" t="s">
        <v>1022</v>
      </c>
    </row>
    <row r="294" spans="1:38">
      <c r="A294" s="1">
        <v>5137096</v>
      </c>
      <c r="B294" s="1" t="s">
        <v>1023</v>
      </c>
      <c r="C294" s="1" t="str">
        <f>"9780273783435"</f>
        <v>9780273783435</v>
      </c>
      <c r="D294" s="1" t="str">
        <f>"9780273783466"</f>
        <v>9780273783466</v>
      </c>
      <c r="E294" s="1" t="s">
        <v>52</v>
      </c>
      <c r="F294" s="1" t="s">
        <v>40</v>
      </c>
      <c r="G294" s="3">
        <v>41393</v>
      </c>
      <c r="H294" s="3">
        <v>1</v>
      </c>
      <c r="I294" s="1" t="s">
        <v>41</v>
      </c>
      <c r="J294" s="1">
        <v>2</v>
      </c>
      <c r="L294" s="1" t="s">
        <v>1024</v>
      </c>
      <c r="Q294" s="1" t="s">
        <v>46</v>
      </c>
      <c r="R294" s="1" t="s">
        <v>47</v>
      </c>
      <c r="S294" s="1" t="s">
        <v>47</v>
      </c>
      <c r="T294" s="1" t="s">
        <v>48</v>
      </c>
      <c r="U294" s="1" t="s">
        <v>47</v>
      </c>
      <c r="V294" s="1" t="s">
        <v>47</v>
      </c>
      <c r="W294" s="1" t="s">
        <v>47</v>
      </c>
      <c r="Z294" s="1">
        <v>0</v>
      </c>
      <c r="AB294" s="1" t="s">
        <v>47</v>
      </c>
      <c r="AD294" s="1">
        <v>485127</v>
      </c>
      <c r="AF294" s="1" t="s">
        <v>47</v>
      </c>
      <c r="AG294" s="1" t="s">
        <v>47</v>
      </c>
      <c r="AH294" s="1" t="s">
        <v>49</v>
      </c>
      <c r="AI294" s="1" t="s">
        <v>47</v>
      </c>
      <c r="AK294" s="1" t="s">
        <v>48</v>
      </c>
      <c r="AL294" s="1" t="s">
        <v>1025</v>
      </c>
    </row>
    <row r="295" spans="1:38">
      <c r="A295" s="1">
        <v>5137097</v>
      </c>
      <c r="B295" s="1" t="s">
        <v>1026</v>
      </c>
      <c r="C295" s="1" t="str">
        <f>"9781292042275"</f>
        <v>9781292042275</v>
      </c>
      <c r="D295" s="1" t="str">
        <f>"9781292056197"</f>
        <v>9781292056197</v>
      </c>
      <c r="E295" s="1" t="s">
        <v>52</v>
      </c>
      <c r="F295" s="1" t="s">
        <v>40</v>
      </c>
      <c r="G295" s="3">
        <v>41550</v>
      </c>
      <c r="H295" s="3">
        <v>1</v>
      </c>
      <c r="I295" s="1" t="s">
        <v>41</v>
      </c>
      <c r="J295" s="1">
        <v>4</v>
      </c>
      <c r="L295" s="1" t="s">
        <v>1027</v>
      </c>
      <c r="Q295" s="1" t="s">
        <v>46</v>
      </c>
      <c r="R295" s="1" t="s">
        <v>47</v>
      </c>
      <c r="S295" s="1" t="s">
        <v>47</v>
      </c>
      <c r="T295" s="1" t="s">
        <v>48</v>
      </c>
      <c r="U295" s="1" t="s">
        <v>47</v>
      </c>
      <c r="V295" s="1" t="s">
        <v>47</v>
      </c>
      <c r="W295" s="1" t="s">
        <v>47</v>
      </c>
      <c r="Z295" s="1">
        <v>0</v>
      </c>
      <c r="AB295" s="1" t="s">
        <v>47</v>
      </c>
      <c r="AD295" s="1">
        <v>543439</v>
      </c>
      <c r="AF295" s="1" t="s">
        <v>47</v>
      </c>
      <c r="AG295" s="1" t="s">
        <v>47</v>
      </c>
      <c r="AH295" s="1" t="s">
        <v>49</v>
      </c>
      <c r="AI295" s="1" t="s">
        <v>47</v>
      </c>
      <c r="AK295" s="1" t="s">
        <v>48</v>
      </c>
      <c r="AL295" s="1" t="s">
        <v>1028</v>
      </c>
    </row>
    <row r="296" spans="1:38">
      <c r="A296" s="1">
        <v>5137098</v>
      </c>
      <c r="B296" s="1" t="s">
        <v>1029</v>
      </c>
      <c r="C296" s="1" t="str">
        <f>"9781292021034"</f>
        <v>9781292021034</v>
      </c>
      <c r="D296" s="1" t="str">
        <f>"9781292034287"</f>
        <v>9781292034287</v>
      </c>
      <c r="E296" s="1" t="s">
        <v>52</v>
      </c>
      <c r="F296" s="1" t="s">
        <v>40</v>
      </c>
      <c r="G296" s="3">
        <v>41513</v>
      </c>
      <c r="H296" s="3">
        <v>1</v>
      </c>
      <c r="I296" s="1" t="s">
        <v>41</v>
      </c>
      <c r="J296" s="1">
        <v>2</v>
      </c>
      <c r="L296" s="1" t="s">
        <v>1030</v>
      </c>
      <c r="Q296" s="1" t="s">
        <v>46</v>
      </c>
      <c r="R296" s="1" t="s">
        <v>47</v>
      </c>
      <c r="S296" s="1" t="s">
        <v>47</v>
      </c>
      <c r="T296" s="1" t="s">
        <v>48</v>
      </c>
      <c r="U296" s="1" t="s">
        <v>47</v>
      </c>
      <c r="V296" s="1" t="s">
        <v>47</v>
      </c>
      <c r="W296" s="1" t="s">
        <v>47</v>
      </c>
      <c r="Z296" s="1">
        <v>0</v>
      </c>
      <c r="AB296" s="1" t="s">
        <v>47</v>
      </c>
      <c r="AD296" s="1">
        <v>526964</v>
      </c>
      <c r="AF296" s="1" t="s">
        <v>47</v>
      </c>
      <c r="AG296" s="1" t="s">
        <v>47</v>
      </c>
      <c r="AH296" s="1" t="s">
        <v>49</v>
      </c>
      <c r="AI296" s="1" t="s">
        <v>47</v>
      </c>
      <c r="AK296" s="1" t="s">
        <v>48</v>
      </c>
      <c r="AL296" s="1" t="s">
        <v>1031</v>
      </c>
    </row>
    <row r="297" spans="1:38">
      <c r="A297" s="1">
        <v>5137099</v>
      </c>
      <c r="B297" s="1" t="s">
        <v>1029</v>
      </c>
      <c r="C297" s="1" t="str">
        <f>"9781292021027"</f>
        <v>9781292021027</v>
      </c>
      <c r="D297" s="1" t="str">
        <f>"9781292034270"</f>
        <v>9781292034270</v>
      </c>
      <c r="E297" s="1" t="s">
        <v>52</v>
      </c>
      <c r="F297" s="1" t="s">
        <v>40</v>
      </c>
      <c r="G297" s="3">
        <v>41513</v>
      </c>
      <c r="H297" s="3">
        <v>1</v>
      </c>
      <c r="I297" s="1" t="s">
        <v>41</v>
      </c>
      <c r="J297" s="1">
        <v>2</v>
      </c>
      <c r="L297" s="1" t="s">
        <v>1030</v>
      </c>
      <c r="Q297" s="1" t="s">
        <v>46</v>
      </c>
      <c r="R297" s="1" t="s">
        <v>47</v>
      </c>
      <c r="S297" s="1" t="s">
        <v>47</v>
      </c>
      <c r="T297" s="1" t="s">
        <v>48</v>
      </c>
      <c r="U297" s="1" t="s">
        <v>47</v>
      </c>
      <c r="V297" s="1" t="s">
        <v>47</v>
      </c>
      <c r="W297" s="1" t="s">
        <v>47</v>
      </c>
      <c r="Z297" s="1">
        <v>0</v>
      </c>
      <c r="AB297" s="1" t="s">
        <v>47</v>
      </c>
      <c r="AD297" s="1">
        <v>526981</v>
      </c>
      <c r="AF297" s="1" t="s">
        <v>47</v>
      </c>
      <c r="AG297" s="1" t="s">
        <v>47</v>
      </c>
      <c r="AH297" s="1" t="s">
        <v>49</v>
      </c>
      <c r="AI297" s="1" t="s">
        <v>47</v>
      </c>
      <c r="AK297" s="1" t="s">
        <v>48</v>
      </c>
      <c r="AL297" s="1" t="s">
        <v>1032</v>
      </c>
    </row>
    <row r="298" spans="1:38">
      <c r="A298" s="1">
        <v>5137101</v>
      </c>
      <c r="B298" s="1" t="s">
        <v>518</v>
      </c>
      <c r="C298" s="1" t="str">
        <f>""</f>
        <v/>
      </c>
      <c r="D298" s="1" t="str">
        <f>"9781292034522"</f>
        <v>9781292034522</v>
      </c>
      <c r="E298" s="1" t="s">
        <v>52</v>
      </c>
      <c r="F298" s="1" t="s">
        <v>40</v>
      </c>
      <c r="G298" s="3">
        <v>41513</v>
      </c>
      <c r="H298" s="3">
        <v>1</v>
      </c>
      <c r="I298" s="1" t="s">
        <v>41</v>
      </c>
      <c r="J298" s="1">
        <v>12</v>
      </c>
      <c r="L298" s="1" t="s">
        <v>1033</v>
      </c>
      <c r="Q298" s="1" t="s">
        <v>46</v>
      </c>
      <c r="R298" s="1" t="s">
        <v>47</v>
      </c>
      <c r="S298" s="1" t="s">
        <v>47</v>
      </c>
      <c r="T298" s="1" t="s">
        <v>48</v>
      </c>
      <c r="U298" s="1" t="s">
        <v>47</v>
      </c>
      <c r="V298" s="1" t="s">
        <v>47</v>
      </c>
      <c r="W298" s="1" t="s">
        <v>47</v>
      </c>
      <c r="Z298" s="1">
        <v>0</v>
      </c>
      <c r="AB298" s="1" t="s">
        <v>47</v>
      </c>
      <c r="AD298" s="1">
        <v>527337</v>
      </c>
      <c r="AF298" s="1" t="s">
        <v>47</v>
      </c>
      <c r="AG298" s="1" t="s">
        <v>47</v>
      </c>
      <c r="AH298" s="1" t="s">
        <v>49</v>
      </c>
      <c r="AI298" s="1" t="s">
        <v>47</v>
      </c>
      <c r="AK298" s="1" t="s">
        <v>48</v>
      </c>
      <c r="AL298" s="1" t="s">
        <v>1034</v>
      </c>
    </row>
    <row r="299" spans="1:38">
      <c r="A299" s="1">
        <v>5137103</v>
      </c>
      <c r="B299" s="1" t="s">
        <v>1035</v>
      </c>
      <c r="C299" s="1" t="str">
        <f>"9781292025261"</f>
        <v>9781292025261</v>
      </c>
      <c r="D299" s="1" t="str">
        <f>"9781292037820"</f>
        <v>9781292037820</v>
      </c>
      <c r="E299" s="1" t="s">
        <v>52</v>
      </c>
      <c r="F299" s="1" t="s">
        <v>40</v>
      </c>
      <c r="G299" s="3">
        <v>41515</v>
      </c>
      <c r="H299" s="3">
        <v>1</v>
      </c>
      <c r="I299" s="1" t="s">
        <v>41</v>
      </c>
      <c r="J299" s="1">
        <v>1</v>
      </c>
      <c r="L299" s="1" t="s">
        <v>1036</v>
      </c>
      <c r="Q299" s="1" t="s">
        <v>46</v>
      </c>
      <c r="R299" s="1" t="s">
        <v>47</v>
      </c>
      <c r="S299" s="1" t="s">
        <v>47</v>
      </c>
      <c r="T299" s="1" t="s">
        <v>48</v>
      </c>
      <c r="U299" s="1" t="s">
        <v>47</v>
      </c>
      <c r="V299" s="1" t="s">
        <v>47</v>
      </c>
      <c r="W299" s="1" t="s">
        <v>47</v>
      </c>
      <c r="Z299" s="1">
        <v>0</v>
      </c>
      <c r="AB299" s="1" t="s">
        <v>47</v>
      </c>
      <c r="AD299" s="1">
        <v>527280</v>
      </c>
      <c r="AF299" s="1" t="s">
        <v>47</v>
      </c>
      <c r="AG299" s="1" t="s">
        <v>47</v>
      </c>
      <c r="AH299" s="1" t="s">
        <v>49</v>
      </c>
      <c r="AI299" s="1" t="s">
        <v>47</v>
      </c>
      <c r="AK299" s="1" t="s">
        <v>48</v>
      </c>
      <c r="AL299" s="1" t="s">
        <v>1037</v>
      </c>
    </row>
    <row r="300" spans="1:38">
      <c r="A300" s="1">
        <v>5137104</v>
      </c>
      <c r="B300" s="1" t="s">
        <v>672</v>
      </c>
      <c r="C300" s="1" t="str">
        <f>"9781292025490"</f>
        <v>9781292025490</v>
      </c>
      <c r="D300" s="1" t="str">
        <f>"9781292037981"</f>
        <v>9781292037981</v>
      </c>
      <c r="E300" s="1" t="s">
        <v>52</v>
      </c>
      <c r="F300" s="1" t="s">
        <v>40</v>
      </c>
      <c r="G300" s="3">
        <v>41515</v>
      </c>
      <c r="H300" s="3">
        <v>1</v>
      </c>
      <c r="I300" s="1" t="s">
        <v>41</v>
      </c>
      <c r="J300" s="1">
        <v>9</v>
      </c>
      <c r="L300" s="1" t="s">
        <v>1038</v>
      </c>
      <c r="Q300" s="1" t="s">
        <v>46</v>
      </c>
      <c r="R300" s="1" t="s">
        <v>47</v>
      </c>
      <c r="S300" s="1" t="s">
        <v>47</v>
      </c>
      <c r="T300" s="1" t="s">
        <v>48</v>
      </c>
      <c r="U300" s="1" t="s">
        <v>47</v>
      </c>
      <c r="V300" s="1" t="s">
        <v>47</v>
      </c>
      <c r="W300" s="1" t="s">
        <v>47</v>
      </c>
      <c r="Z300" s="1">
        <v>0</v>
      </c>
      <c r="AB300" s="1" t="s">
        <v>47</v>
      </c>
      <c r="AD300" s="1">
        <v>527116</v>
      </c>
      <c r="AF300" s="1" t="s">
        <v>47</v>
      </c>
      <c r="AG300" s="1" t="s">
        <v>47</v>
      </c>
      <c r="AH300" s="1" t="s">
        <v>49</v>
      </c>
      <c r="AI300" s="1" t="s">
        <v>47</v>
      </c>
      <c r="AK300" s="1" t="s">
        <v>48</v>
      </c>
      <c r="AL300" s="1" t="s">
        <v>1039</v>
      </c>
    </row>
    <row r="301" spans="1:38">
      <c r="A301" s="1">
        <v>5137109</v>
      </c>
      <c r="B301" s="1" t="s">
        <v>1040</v>
      </c>
      <c r="C301" s="1" t="str">
        <f>"9780273724339"</f>
        <v>9780273724339</v>
      </c>
      <c r="D301" s="1" t="str">
        <f>"9780273724377"</f>
        <v>9780273724377</v>
      </c>
      <c r="E301" s="1" t="s">
        <v>52</v>
      </c>
      <c r="F301" s="1" t="s">
        <v>40</v>
      </c>
      <c r="G301" s="3">
        <v>41365</v>
      </c>
      <c r="H301" s="3">
        <v>1</v>
      </c>
      <c r="I301" s="1" t="s">
        <v>41</v>
      </c>
      <c r="J301" s="1">
        <v>1</v>
      </c>
      <c r="L301" s="1" t="s">
        <v>1041</v>
      </c>
      <c r="M301" s="1" t="s">
        <v>59</v>
      </c>
      <c r="N301" s="1" t="s">
        <v>1042</v>
      </c>
      <c r="O301" s="1">
        <v>658.83</v>
      </c>
      <c r="P301" s="1" t="s">
        <v>1043</v>
      </c>
      <c r="Q301" s="1" t="s">
        <v>46</v>
      </c>
      <c r="R301" s="1" t="s">
        <v>47</v>
      </c>
      <c r="S301" s="1" t="s">
        <v>47</v>
      </c>
      <c r="T301" s="1" t="s">
        <v>48</v>
      </c>
      <c r="U301" s="1" t="s">
        <v>47</v>
      </c>
      <c r="V301" s="1" t="s">
        <v>47</v>
      </c>
      <c r="W301" s="1" t="s">
        <v>47</v>
      </c>
      <c r="Z301" s="1">
        <v>0</v>
      </c>
      <c r="AB301" s="1" t="s">
        <v>47</v>
      </c>
      <c r="AD301" s="1">
        <v>471844</v>
      </c>
      <c r="AF301" s="1" t="s">
        <v>47</v>
      </c>
      <c r="AG301" s="1" t="s">
        <v>47</v>
      </c>
      <c r="AH301" s="1" t="s">
        <v>49</v>
      </c>
      <c r="AI301" s="1" t="s">
        <v>47</v>
      </c>
      <c r="AK301" s="1" t="s">
        <v>48</v>
      </c>
      <c r="AL301" s="1" t="s">
        <v>1044</v>
      </c>
    </row>
    <row r="302" spans="1:38">
      <c r="A302" s="1">
        <v>5137117</v>
      </c>
      <c r="B302" s="1" t="s">
        <v>1045</v>
      </c>
      <c r="C302" s="1" t="str">
        <f>""</f>
        <v/>
      </c>
      <c r="D302" s="1" t="str">
        <f>"9780273743415"</f>
        <v>9780273743415</v>
      </c>
      <c r="E302" s="1" t="s">
        <v>52</v>
      </c>
      <c r="F302" s="1" t="s">
        <v>157</v>
      </c>
      <c r="G302" s="3">
        <v>40630</v>
      </c>
      <c r="H302" s="3">
        <v>1</v>
      </c>
      <c r="I302" s="1" t="s">
        <v>41</v>
      </c>
      <c r="J302" s="1">
        <v>2</v>
      </c>
      <c r="L302" s="1" t="s">
        <v>158</v>
      </c>
      <c r="Q302" s="1" t="s">
        <v>46</v>
      </c>
      <c r="R302" s="1" t="s">
        <v>47</v>
      </c>
      <c r="S302" s="1" t="s">
        <v>47</v>
      </c>
      <c r="T302" s="1" t="s">
        <v>48</v>
      </c>
      <c r="U302" s="1" t="s">
        <v>47</v>
      </c>
      <c r="V302" s="1" t="s">
        <v>47</v>
      </c>
      <c r="W302" s="1" t="s">
        <v>47</v>
      </c>
      <c r="Z302" s="1">
        <v>0</v>
      </c>
      <c r="AB302" s="1" t="s">
        <v>47</v>
      </c>
      <c r="AD302" s="1">
        <v>305619</v>
      </c>
      <c r="AF302" s="1" t="s">
        <v>47</v>
      </c>
      <c r="AG302" s="1" t="s">
        <v>47</v>
      </c>
      <c r="AH302" s="1" t="s">
        <v>49</v>
      </c>
      <c r="AI302" s="1" t="s">
        <v>47</v>
      </c>
      <c r="AK302" s="1" t="s">
        <v>48</v>
      </c>
      <c r="AL302" s="1" t="s">
        <v>1046</v>
      </c>
    </row>
    <row r="303" spans="1:38">
      <c r="A303" s="1">
        <v>5137135</v>
      </c>
      <c r="B303" s="1" t="s">
        <v>1047</v>
      </c>
      <c r="C303" s="1" t="str">
        <f>"9780133545586"</f>
        <v>9780133545586</v>
      </c>
      <c r="D303" s="1" t="str">
        <f>"9780273736387"</f>
        <v>9780273736387</v>
      </c>
      <c r="E303" s="1" t="s">
        <v>52</v>
      </c>
      <c r="F303" s="1" t="s">
        <v>67</v>
      </c>
      <c r="G303" s="3">
        <v>40630</v>
      </c>
      <c r="H303" s="3">
        <v>1</v>
      </c>
      <c r="I303" s="1" t="s">
        <v>41</v>
      </c>
      <c r="J303" s="1">
        <v>1</v>
      </c>
      <c r="L303" s="1" t="s">
        <v>1048</v>
      </c>
      <c r="Q303" s="1" t="s">
        <v>46</v>
      </c>
      <c r="R303" s="1" t="s">
        <v>47</v>
      </c>
      <c r="S303" s="1" t="s">
        <v>47</v>
      </c>
      <c r="T303" s="1" t="s">
        <v>48</v>
      </c>
      <c r="U303" s="1" t="s">
        <v>47</v>
      </c>
      <c r="V303" s="1" t="s">
        <v>47</v>
      </c>
      <c r="W303" s="1" t="s">
        <v>47</v>
      </c>
      <c r="Z303" s="1">
        <v>0</v>
      </c>
      <c r="AB303" s="1" t="s">
        <v>47</v>
      </c>
      <c r="AD303" s="1">
        <v>305603</v>
      </c>
      <c r="AF303" s="1" t="s">
        <v>47</v>
      </c>
      <c r="AG303" s="1" t="s">
        <v>47</v>
      </c>
      <c r="AH303" s="1" t="s">
        <v>49</v>
      </c>
      <c r="AI303" s="1" t="s">
        <v>47</v>
      </c>
      <c r="AK303" s="1" t="s">
        <v>48</v>
      </c>
      <c r="AL303" s="1" t="s">
        <v>1049</v>
      </c>
    </row>
    <row r="304" spans="1:38">
      <c r="A304" s="1">
        <v>5137136</v>
      </c>
      <c r="B304" s="1" t="s">
        <v>1050</v>
      </c>
      <c r="C304" s="1" t="str">
        <f>"9780273735922"</f>
        <v>9780273735922</v>
      </c>
      <c r="D304" s="1" t="str">
        <f>"9780273735939"</f>
        <v>9780273735939</v>
      </c>
      <c r="E304" s="1" t="s">
        <v>52</v>
      </c>
      <c r="F304" s="1" t="s">
        <v>84</v>
      </c>
      <c r="G304" s="3">
        <v>40513</v>
      </c>
      <c r="H304" s="3">
        <v>1</v>
      </c>
      <c r="I304" s="1" t="s">
        <v>41</v>
      </c>
      <c r="J304" s="1">
        <v>2</v>
      </c>
      <c r="L304" s="1" t="s">
        <v>1051</v>
      </c>
      <c r="M304" s="1" t="s">
        <v>100</v>
      </c>
      <c r="N304" s="1" t="s">
        <v>1052</v>
      </c>
      <c r="O304" s="1">
        <v>158.1</v>
      </c>
      <c r="P304" s="1" t="s">
        <v>1053</v>
      </c>
      <c r="Q304" s="1" t="s">
        <v>46</v>
      </c>
      <c r="R304" s="1" t="s">
        <v>47</v>
      </c>
      <c r="S304" s="1" t="s">
        <v>47</v>
      </c>
      <c r="T304" s="1" t="s">
        <v>48</v>
      </c>
      <c r="U304" s="1" t="s">
        <v>47</v>
      </c>
      <c r="V304" s="1" t="s">
        <v>47</v>
      </c>
      <c r="W304" s="1" t="s">
        <v>47</v>
      </c>
      <c r="Z304" s="1">
        <v>0</v>
      </c>
      <c r="AB304" s="1" t="s">
        <v>47</v>
      </c>
      <c r="AD304" s="1">
        <v>305601</v>
      </c>
      <c r="AF304" s="1" t="s">
        <v>47</v>
      </c>
      <c r="AG304" s="1" t="s">
        <v>47</v>
      </c>
      <c r="AH304" s="1" t="s">
        <v>49</v>
      </c>
      <c r="AI304" s="1" t="s">
        <v>47</v>
      </c>
      <c r="AK304" s="1" t="s">
        <v>48</v>
      </c>
      <c r="AL304" s="1" t="s">
        <v>1054</v>
      </c>
    </row>
    <row r="305" spans="1:38">
      <c r="A305" s="1">
        <v>5137137</v>
      </c>
      <c r="B305" s="1" t="s">
        <v>1055</v>
      </c>
      <c r="C305" s="1" t="str">
        <f>"9781292021669"</f>
        <v>9781292021669</v>
      </c>
      <c r="D305" s="1" t="str">
        <f>"9781292034898"</f>
        <v>9781292034898</v>
      </c>
      <c r="E305" s="1" t="s">
        <v>52</v>
      </c>
      <c r="F305" s="1" t="s">
        <v>40</v>
      </c>
      <c r="G305" s="3">
        <v>41485</v>
      </c>
      <c r="H305" s="3">
        <v>1</v>
      </c>
      <c r="I305" s="1" t="s">
        <v>41</v>
      </c>
      <c r="J305" s="1">
        <v>4</v>
      </c>
      <c r="L305" s="1" t="s">
        <v>1056</v>
      </c>
      <c r="M305" s="1" t="s">
        <v>372</v>
      </c>
      <c r="O305" s="1">
        <v>300.72699999999998</v>
      </c>
      <c r="Q305" s="1" t="s">
        <v>46</v>
      </c>
      <c r="R305" s="1" t="s">
        <v>47</v>
      </c>
      <c r="S305" s="1" t="s">
        <v>47</v>
      </c>
      <c r="T305" s="1" t="s">
        <v>48</v>
      </c>
      <c r="U305" s="1" t="s">
        <v>47</v>
      </c>
      <c r="V305" s="1" t="s">
        <v>47</v>
      </c>
      <c r="W305" s="1" t="s">
        <v>47</v>
      </c>
      <c r="Z305" s="1">
        <v>0</v>
      </c>
      <c r="AB305" s="1" t="s">
        <v>47</v>
      </c>
      <c r="AD305" s="1">
        <v>527386</v>
      </c>
      <c r="AF305" s="1" t="s">
        <v>47</v>
      </c>
      <c r="AG305" s="1" t="s">
        <v>47</v>
      </c>
      <c r="AH305" s="1" t="s">
        <v>49</v>
      </c>
      <c r="AI305" s="1" t="s">
        <v>47</v>
      </c>
      <c r="AK305" s="1" t="s">
        <v>48</v>
      </c>
      <c r="AL305" s="1" t="s">
        <v>1057</v>
      </c>
    </row>
    <row r="306" spans="1:38">
      <c r="A306" s="1">
        <v>5137138</v>
      </c>
      <c r="B306" s="1" t="s">
        <v>1058</v>
      </c>
      <c r="C306" s="1" t="str">
        <f>"9781292021188"</f>
        <v>9781292021188</v>
      </c>
      <c r="D306" s="1" t="str">
        <f>"9781292034416"</f>
        <v>9781292034416</v>
      </c>
      <c r="E306" s="1" t="s">
        <v>52</v>
      </c>
      <c r="F306" s="1" t="s">
        <v>40</v>
      </c>
      <c r="G306" s="3">
        <v>41472</v>
      </c>
      <c r="H306" s="3">
        <v>1</v>
      </c>
      <c r="I306" s="1" t="s">
        <v>41</v>
      </c>
      <c r="J306" s="1">
        <v>3</v>
      </c>
      <c r="L306" s="1" t="s">
        <v>1059</v>
      </c>
      <c r="M306" s="1" t="s">
        <v>242</v>
      </c>
      <c r="O306" s="1">
        <v>519.5</v>
      </c>
      <c r="Q306" s="1" t="s">
        <v>46</v>
      </c>
      <c r="R306" s="1" t="s">
        <v>47</v>
      </c>
      <c r="S306" s="1" t="s">
        <v>47</v>
      </c>
      <c r="T306" s="1" t="s">
        <v>48</v>
      </c>
      <c r="U306" s="1" t="s">
        <v>47</v>
      </c>
      <c r="V306" s="1" t="s">
        <v>47</v>
      </c>
      <c r="W306" s="1" t="s">
        <v>47</v>
      </c>
      <c r="Z306" s="1">
        <v>0</v>
      </c>
      <c r="AB306" s="1" t="s">
        <v>47</v>
      </c>
      <c r="AD306" s="1">
        <v>527574</v>
      </c>
      <c r="AF306" s="1" t="s">
        <v>47</v>
      </c>
      <c r="AG306" s="1" t="s">
        <v>47</v>
      </c>
      <c r="AH306" s="1" t="s">
        <v>49</v>
      </c>
      <c r="AI306" s="1" t="s">
        <v>47</v>
      </c>
      <c r="AK306" s="1" t="s">
        <v>48</v>
      </c>
      <c r="AL306" s="1" t="s">
        <v>1060</v>
      </c>
    </row>
    <row r="307" spans="1:38">
      <c r="A307" s="1">
        <v>5137156</v>
      </c>
      <c r="B307" s="1" t="s">
        <v>1061</v>
      </c>
      <c r="C307" s="1" t="str">
        <f>"9780273776703"</f>
        <v>9780273776703</v>
      </c>
      <c r="D307" s="1" t="str">
        <f>"9780273776710"</f>
        <v>9780273776710</v>
      </c>
      <c r="E307" s="1" t="s">
        <v>52</v>
      </c>
      <c r="F307" s="1" t="s">
        <v>62</v>
      </c>
      <c r="G307" s="3">
        <v>41466</v>
      </c>
      <c r="H307" s="3">
        <v>1</v>
      </c>
      <c r="I307" s="1" t="s">
        <v>41</v>
      </c>
      <c r="J307" s="1">
        <v>2</v>
      </c>
      <c r="L307" s="1" t="s">
        <v>1062</v>
      </c>
      <c r="M307" s="1" t="s">
        <v>59</v>
      </c>
      <c r="N307" s="1" t="s">
        <v>1063</v>
      </c>
      <c r="O307" s="1">
        <v>658.40920000000006</v>
      </c>
      <c r="P307" s="1" t="s">
        <v>1064</v>
      </c>
      <c r="Q307" s="1" t="s">
        <v>46</v>
      </c>
      <c r="R307" s="1" t="s">
        <v>47</v>
      </c>
      <c r="S307" s="1" t="s">
        <v>47</v>
      </c>
      <c r="T307" s="1" t="s">
        <v>48</v>
      </c>
      <c r="U307" s="1" t="s">
        <v>47</v>
      </c>
      <c r="V307" s="1" t="s">
        <v>47</v>
      </c>
      <c r="W307" s="1" t="s">
        <v>47</v>
      </c>
      <c r="Z307" s="1">
        <v>0</v>
      </c>
      <c r="AB307" s="1" t="s">
        <v>47</v>
      </c>
      <c r="AD307" s="1">
        <v>502441</v>
      </c>
      <c r="AF307" s="1" t="s">
        <v>47</v>
      </c>
      <c r="AG307" s="1" t="s">
        <v>47</v>
      </c>
      <c r="AH307" s="1" t="s">
        <v>49</v>
      </c>
      <c r="AI307" s="1" t="s">
        <v>47</v>
      </c>
      <c r="AK307" s="1" t="s">
        <v>48</v>
      </c>
      <c r="AL307" s="1" t="s">
        <v>1065</v>
      </c>
    </row>
    <row r="308" spans="1:38">
      <c r="A308" s="1">
        <v>5137160</v>
      </c>
      <c r="B308" s="1" t="s">
        <v>1066</v>
      </c>
      <c r="C308" s="1" t="str">
        <f>"9781292025179"</f>
        <v>9781292025179</v>
      </c>
      <c r="D308" s="1" t="str">
        <f>"9781292037769"</f>
        <v>9781292037769</v>
      </c>
      <c r="E308" s="1" t="s">
        <v>52</v>
      </c>
      <c r="F308" s="1" t="s">
        <v>40</v>
      </c>
      <c r="G308" s="3">
        <v>41526</v>
      </c>
      <c r="H308" s="3">
        <v>1</v>
      </c>
      <c r="I308" s="1" t="s">
        <v>41</v>
      </c>
      <c r="J308" s="1">
        <v>8</v>
      </c>
      <c r="L308" s="1" t="s">
        <v>1067</v>
      </c>
      <c r="M308" s="1" t="s">
        <v>242</v>
      </c>
      <c r="O308" s="1">
        <v>512</v>
      </c>
      <c r="Q308" s="1" t="s">
        <v>46</v>
      </c>
      <c r="R308" s="1" t="s">
        <v>47</v>
      </c>
      <c r="S308" s="1" t="s">
        <v>47</v>
      </c>
      <c r="T308" s="1" t="s">
        <v>48</v>
      </c>
      <c r="U308" s="1" t="s">
        <v>47</v>
      </c>
      <c r="V308" s="1" t="s">
        <v>47</v>
      </c>
      <c r="W308" s="1" t="s">
        <v>47</v>
      </c>
      <c r="Z308" s="1">
        <v>0</v>
      </c>
      <c r="AB308" s="1" t="s">
        <v>47</v>
      </c>
      <c r="AD308" s="1">
        <v>527232</v>
      </c>
      <c r="AF308" s="1" t="s">
        <v>47</v>
      </c>
      <c r="AG308" s="1" t="s">
        <v>47</v>
      </c>
      <c r="AH308" s="1" t="s">
        <v>49</v>
      </c>
      <c r="AI308" s="1" t="s">
        <v>47</v>
      </c>
      <c r="AK308" s="1" t="s">
        <v>48</v>
      </c>
      <c r="AL308" s="1" t="s">
        <v>1068</v>
      </c>
    </row>
    <row r="309" spans="1:38">
      <c r="A309" s="1">
        <v>5137178</v>
      </c>
      <c r="B309" s="1" t="s">
        <v>1069</v>
      </c>
      <c r="C309" s="1" t="str">
        <f>"9781292042664"</f>
        <v>9781292042664</v>
      </c>
      <c r="D309" s="1" t="str">
        <f>"9781292051710"</f>
        <v>9781292051710</v>
      </c>
      <c r="E309" s="1" t="s">
        <v>52</v>
      </c>
      <c r="F309" s="1" t="s">
        <v>40</v>
      </c>
      <c r="G309" s="3">
        <v>41579</v>
      </c>
      <c r="H309" s="3">
        <v>1</v>
      </c>
      <c r="I309" s="1" t="s">
        <v>41</v>
      </c>
      <c r="J309" s="1">
        <v>5</v>
      </c>
      <c r="L309" s="1" t="s">
        <v>1070</v>
      </c>
      <c r="M309" s="1" t="s">
        <v>372</v>
      </c>
      <c r="O309" s="1">
        <v>305.23500000000001</v>
      </c>
      <c r="Q309" s="1" t="s">
        <v>46</v>
      </c>
      <c r="R309" s="1" t="s">
        <v>47</v>
      </c>
      <c r="S309" s="1" t="s">
        <v>47</v>
      </c>
      <c r="T309" s="1" t="s">
        <v>48</v>
      </c>
      <c r="U309" s="1" t="s">
        <v>47</v>
      </c>
      <c r="V309" s="1" t="s">
        <v>47</v>
      </c>
      <c r="W309" s="1" t="s">
        <v>47</v>
      </c>
      <c r="Z309" s="1">
        <v>0</v>
      </c>
      <c r="AB309" s="1" t="s">
        <v>47</v>
      </c>
      <c r="AD309" s="1">
        <v>543359</v>
      </c>
      <c r="AF309" s="1" t="s">
        <v>47</v>
      </c>
      <c r="AG309" s="1" t="s">
        <v>47</v>
      </c>
      <c r="AH309" s="1" t="s">
        <v>49</v>
      </c>
      <c r="AI309" s="1" t="s">
        <v>47</v>
      </c>
      <c r="AK309" s="1" t="s">
        <v>48</v>
      </c>
      <c r="AL309" s="1" t="s">
        <v>1071</v>
      </c>
    </row>
    <row r="310" spans="1:38">
      <c r="A310" s="1">
        <v>5137179</v>
      </c>
      <c r="B310" s="1" t="s">
        <v>1072</v>
      </c>
      <c r="C310" s="1" t="str">
        <f>"9781292039596"</f>
        <v>9781292039596</v>
      </c>
      <c r="D310" s="1" t="str">
        <f>"9781292051703"</f>
        <v>9781292051703</v>
      </c>
      <c r="E310" s="1" t="s">
        <v>52</v>
      </c>
      <c r="F310" s="1" t="s">
        <v>40</v>
      </c>
      <c r="G310" s="3">
        <v>41579</v>
      </c>
      <c r="H310" s="3">
        <v>1</v>
      </c>
      <c r="I310" s="1" t="s">
        <v>41</v>
      </c>
      <c r="J310" s="1">
        <v>1</v>
      </c>
      <c r="L310" s="1" t="s">
        <v>1070</v>
      </c>
      <c r="M310" s="1" t="s">
        <v>372</v>
      </c>
      <c r="O310" s="1">
        <v>305.24</v>
      </c>
      <c r="Q310" s="1" t="s">
        <v>46</v>
      </c>
      <c r="R310" s="1" t="s">
        <v>47</v>
      </c>
      <c r="S310" s="1" t="s">
        <v>47</v>
      </c>
      <c r="T310" s="1" t="s">
        <v>48</v>
      </c>
      <c r="U310" s="1" t="s">
        <v>47</v>
      </c>
      <c r="V310" s="1" t="s">
        <v>47</v>
      </c>
      <c r="W310" s="1" t="s">
        <v>47</v>
      </c>
      <c r="Z310" s="1">
        <v>0</v>
      </c>
      <c r="AB310" s="1" t="s">
        <v>47</v>
      </c>
      <c r="AD310" s="1">
        <v>543442</v>
      </c>
      <c r="AF310" s="1" t="s">
        <v>47</v>
      </c>
      <c r="AG310" s="1" t="s">
        <v>47</v>
      </c>
      <c r="AH310" s="1" t="s">
        <v>49</v>
      </c>
      <c r="AI310" s="1" t="s">
        <v>47</v>
      </c>
      <c r="AK310" s="1" t="s">
        <v>48</v>
      </c>
      <c r="AL310" s="1" t="s">
        <v>1073</v>
      </c>
    </row>
    <row r="311" spans="1:38">
      <c r="A311" s="1">
        <v>5137182</v>
      </c>
      <c r="B311" s="1" t="s">
        <v>1074</v>
      </c>
      <c r="C311" s="1" t="str">
        <f>""</f>
        <v/>
      </c>
      <c r="D311" s="1" t="str">
        <f>"9780273743392"</f>
        <v>9780273743392</v>
      </c>
      <c r="E311" s="1" t="s">
        <v>52</v>
      </c>
      <c r="F311" s="1" t="s">
        <v>67</v>
      </c>
      <c r="G311" s="3">
        <v>40630</v>
      </c>
      <c r="H311" s="3">
        <v>1</v>
      </c>
      <c r="I311" s="1" t="s">
        <v>41</v>
      </c>
      <c r="J311" s="1">
        <v>1</v>
      </c>
      <c r="L311" s="1" t="s">
        <v>1075</v>
      </c>
      <c r="Q311" s="1" t="s">
        <v>46</v>
      </c>
      <c r="R311" s="1" t="s">
        <v>47</v>
      </c>
      <c r="S311" s="1" t="s">
        <v>47</v>
      </c>
      <c r="T311" s="1" t="s">
        <v>48</v>
      </c>
      <c r="U311" s="1" t="s">
        <v>47</v>
      </c>
      <c r="V311" s="1" t="s">
        <v>47</v>
      </c>
      <c r="W311" s="1" t="s">
        <v>47</v>
      </c>
      <c r="Z311" s="1">
        <v>0</v>
      </c>
      <c r="AB311" s="1" t="s">
        <v>47</v>
      </c>
      <c r="AD311" s="1">
        <v>305618</v>
      </c>
      <c r="AF311" s="1" t="s">
        <v>47</v>
      </c>
      <c r="AG311" s="1" t="s">
        <v>47</v>
      </c>
      <c r="AH311" s="1" t="s">
        <v>49</v>
      </c>
      <c r="AI311" s="1" t="s">
        <v>47</v>
      </c>
      <c r="AK311" s="1" t="s">
        <v>48</v>
      </c>
      <c r="AL311" s="1" t="s">
        <v>1076</v>
      </c>
    </row>
    <row r="312" spans="1:38">
      <c r="A312" s="1">
        <v>5137190</v>
      </c>
      <c r="B312" s="1" t="s">
        <v>1077</v>
      </c>
      <c r="C312" s="1" t="str">
        <f>"9781292040295"</f>
        <v>9781292040295</v>
      </c>
      <c r="D312" s="1" t="str">
        <f>"9781292051734"</f>
        <v>9781292051734</v>
      </c>
      <c r="E312" s="1" t="s">
        <v>52</v>
      </c>
      <c r="F312" s="1" t="s">
        <v>40</v>
      </c>
      <c r="G312" s="3">
        <v>41579</v>
      </c>
      <c r="H312" s="3">
        <v>1</v>
      </c>
      <c r="I312" s="1" t="s">
        <v>41</v>
      </c>
      <c r="J312" s="1">
        <v>6</v>
      </c>
      <c r="L312" s="1" t="s">
        <v>1078</v>
      </c>
      <c r="M312" s="1" t="s">
        <v>100</v>
      </c>
      <c r="O312" s="1">
        <v>150.727</v>
      </c>
      <c r="Q312" s="1" t="s">
        <v>46</v>
      </c>
      <c r="R312" s="1" t="s">
        <v>47</v>
      </c>
      <c r="S312" s="1" t="s">
        <v>47</v>
      </c>
      <c r="T312" s="1" t="s">
        <v>48</v>
      </c>
      <c r="U312" s="1" t="s">
        <v>47</v>
      </c>
      <c r="V312" s="1" t="s">
        <v>47</v>
      </c>
      <c r="W312" s="1" t="s">
        <v>47</v>
      </c>
      <c r="Z312" s="1">
        <v>0</v>
      </c>
      <c r="AB312" s="1" t="s">
        <v>47</v>
      </c>
      <c r="AD312" s="1">
        <v>543529</v>
      </c>
      <c r="AF312" s="1" t="s">
        <v>47</v>
      </c>
      <c r="AG312" s="1" t="s">
        <v>47</v>
      </c>
      <c r="AH312" s="1" t="s">
        <v>49</v>
      </c>
      <c r="AI312" s="1" t="s">
        <v>47</v>
      </c>
      <c r="AK312" s="1" t="s">
        <v>48</v>
      </c>
      <c r="AL312" s="1" t="s">
        <v>1079</v>
      </c>
    </row>
    <row r="313" spans="1:38">
      <c r="A313" s="1">
        <v>5137195</v>
      </c>
      <c r="B313" s="1" t="s">
        <v>1080</v>
      </c>
      <c r="C313" s="1" t="str">
        <f>"9781292027661"</f>
        <v>9781292027661</v>
      </c>
      <c r="D313" s="1" t="str">
        <f>"9781292051741"</f>
        <v>9781292051741</v>
      </c>
      <c r="E313" s="1" t="s">
        <v>52</v>
      </c>
      <c r="F313" s="1" t="s">
        <v>40</v>
      </c>
      <c r="G313" s="3">
        <v>41547</v>
      </c>
      <c r="H313" s="3">
        <v>1</v>
      </c>
      <c r="I313" s="1" t="s">
        <v>41</v>
      </c>
      <c r="J313" s="1">
        <v>2</v>
      </c>
      <c r="L313" s="1" t="s">
        <v>1081</v>
      </c>
      <c r="M313" s="1" t="s">
        <v>242</v>
      </c>
      <c r="O313" s="1">
        <v>512</v>
      </c>
      <c r="Q313" s="1" t="s">
        <v>46</v>
      </c>
      <c r="R313" s="1" t="s">
        <v>47</v>
      </c>
      <c r="S313" s="1" t="s">
        <v>47</v>
      </c>
      <c r="T313" s="1" t="s">
        <v>48</v>
      </c>
      <c r="U313" s="1" t="s">
        <v>47</v>
      </c>
      <c r="V313" s="1" t="s">
        <v>47</v>
      </c>
      <c r="W313" s="1" t="s">
        <v>47</v>
      </c>
      <c r="Z313" s="1">
        <v>0</v>
      </c>
      <c r="AB313" s="1" t="s">
        <v>47</v>
      </c>
      <c r="AD313" s="1">
        <v>543526</v>
      </c>
      <c r="AF313" s="1" t="s">
        <v>47</v>
      </c>
      <c r="AG313" s="1" t="s">
        <v>47</v>
      </c>
      <c r="AH313" s="1" t="s">
        <v>49</v>
      </c>
      <c r="AI313" s="1" t="s">
        <v>47</v>
      </c>
      <c r="AK313" s="1" t="s">
        <v>48</v>
      </c>
      <c r="AL313" s="1" t="s">
        <v>1082</v>
      </c>
    </row>
    <row r="314" spans="1:38">
      <c r="A314" s="1">
        <v>5137199</v>
      </c>
      <c r="B314" s="1" t="s">
        <v>1083</v>
      </c>
      <c r="C314" s="1" t="str">
        <f>"9780133545524"</f>
        <v>9780133545524</v>
      </c>
      <c r="D314" s="1" t="str">
        <f>"9780273740810"</f>
        <v>9780273740810</v>
      </c>
      <c r="E314" s="1" t="s">
        <v>52</v>
      </c>
      <c r="F314" s="1" t="s">
        <v>57</v>
      </c>
      <c r="G314" s="3">
        <v>40567</v>
      </c>
      <c r="H314" s="3">
        <v>1</v>
      </c>
      <c r="I314" s="1" t="s">
        <v>41</v>
      </c>
      <c r="J314" s="1">
        <v>3</v>
      </c>
      <c r="L314" s="1" t="s">
        <v>1084</v>
      </c>
      <c r="Q314" s="1" t="s">
        <v>46</v>
      </c>
      <c r="R314" s="1" t="s">
        <v>47</v>
      </c>
      <c r="S314" s="1" t="s">
        <v>47</v>
      </c>
      <c r="T314" s="1" t="s">
        <v>48</v>
      </c>
      <c r="U314" s="1" t="s">
        <v>47</v>
      </c>
      <c r="V314" s="1" t="s">
        <v>47</v>
      </c>
      <c r="W314" s="1" t="s">
        <v>47</v>
      </c>
      <c r="Z314" s="1">
        <v>0</v>
      </c>
      <c r="AB314" s="1" t="s">
        <v>47</v>
      </c>
      <c r="AD314" s="1">
        <v>298373</v>
      </c>
      <c r="AF314" s="1" t="s">
        <v>47</v>
      </c>
      <c r="AG314" s="1" t="s">
        <v>47</v>
      </c>
      <c r="AH314" s="1" t="s">
        <v>49</v>
      </c>
      <c r="AI314" s="1" t="s">
        <v>47</v>
      </c>
      <c r="AK314" s="1" t="s">
        <v>48</v>
      </c>
      <c r="AL314" s="1" t="s">
        <v>1085</v>
      </c>
    </row>
    <row r="315" spans="1:38">
      <c r="A315" s="1">
        <v>5137210</v>
      </c>
      <c r="B315" s="1" t="s">
        <v>357</v>
      </c>
      <c r="C315" s="1" t="str">
        <f>"9781292026312"</f>
        <v>9781292026312</v>
      </c>
      <c r="D315" s="1" t="str">
        <f>"9781292038704"</f>
        <v>9781292038704</v>
      </c>
      <c r="E315" s="1" t="s">
        <v>52</v>
      </c>
      <c r="F315" s="1" t="s">
        <v>40</v>
      </c>
      <c r="G315" s="3">
        <v>41515</v>
      </c>
      <c r="H315" s="3">
        <v>1</v>
      </c>
      <c r="I315" s="1" t="s">
        <v>41</v>
      </c>
      <c r="J315" s="1">
        <v>10</v>
      </c>
      <c r="L315" s="1" t="s">
        <v>1086</v>
      </c>
      <c r="Q315" s="1" t="s">
        <v>46</v>
      </c>
      <c r="R315" s="1" t="s">
        <v>47</v>
      </c>
      <c r="S315" s="1" t="s">
        <v>47</v>
      </c>
      <c r="T315" s="1" t="s">
        <v>48</v>
      </c>
      <c r="U315" s="1" t="s">
        <v>47</v>
      </c>
      <c r="V315" s="1" t="s">
        <v>47</v>
      </c>
      <c r="W315" s="1" t="s">
        <v>47</v>
      </c>
      <c r="Z315" s="1">
        <v>0</v>
      </c>
      <c r="AB315" s="1" t="s">
        <v>47</v>
      </c>
      <c r="AD315" s="1">
        <v>527351</v>
      </c>
      <c r="AF315" s="1" t="s">
        <v>47</v>
      </c>
      <c r="AG315" s="1" t="s">
        <v>47</v>
      </c>
      <c r="AH315" s="1" t="s">
        <v>49</v>
      </c>
      <c r="AI315" s="1" t="s">
        <v>47</v>
      </c>
      <c r="AK315" s="1" t="s">
        <v>48</v>
      </c>
      <c r="AL315" s="1" t="s">
        <v>1087</v>
      </c>
    </row>
    <row r="316" spans="1:38">
      <c r="A316" s="1">
        <v>5137223</v>
      </c>
      <c r="B316" s="1" t="s">
        <v>1088</v>
      </c>
      <c r="C316" s="1" t="str">
        <f>"9781292039060"</f>
        <v>9781292039060</v>
      </c>
      <c r="D316" s="1" t="str">
        <f>"9781292051802"</f>
        <v>9781292051802</v>
      </c>
      <c r="E316" s="1" t="s">
        <v>52</v>
      </c>
      <c r="F316" s="1" t="s">
        <v>40</v>
      </c>
      <c r="G316" s="3">
        <v>41550</v>
      </c>
      <c r="H316" s="3">
        <v>1</v>
      </c>
      <c r="I316" s="1" t="s">
        <v>41</v>
      </c>
      <c r="J316" s="1">
        <v>2</v>
      </c>
      <c r="L316" s="1" t="s">
        <v>1089</v>
      </c>
      <c r="Q316" s="1" t="s">
        <v>46</v>
      </c>
      <c r="R316" s="1" t="s">
        <v>47</v>
      </c>
      <c r="S316" s="1" t="s">
        <v>47</v>
      </c>
      <c r="T316" s="1" t="s">
        <v>48</v>
      </c>
      <c r="U316" s="1" t="s">
        <v>47</v>
      </c>
      <c r="V316" s="1" t="s">
        <v>47</v>
      </c>
      <c r="W316" s="1" t="s">
        <v>47</v>
      </c>
      <c r="Z316" s="1">
        <v>0</v>
      </c>
      <c r="AB316" s="1" t="s">
        <v>47</v>
      </c>
      <c r="AD316" s="1">
        <v>543460</v>
      </c>
      <c r="AF316" s="1" t="s">
        <v>47</v>
      </c>
      <c r="AG316" s="1" t="s">
        <v>47</v>
      </c>
      <c r="AH316" s="1" t="s">
        <v>49</v>
      </c>
      <c r="AI316" s="1" t="s">
        <v>47</v>
      </c>
      <c r="AK316" s="1" t="s">
        <v>48</v>
      </c>
      <c r="AL316" s="1" t="s">
        <v>1090</v>
      </c>
    </row>
    <row r="317" spans="1:38">
      <c r="A317" s="1">
        <v>5137236</v>
      </c>
      <c r="B317" s="1" t="s">
        <v>1091</v>
      </c>
      <c r="C317" s="1" t="str">
        <f>"9781292024370"</f>
        <v>9781292024370</v>
      </c>
      <c r="D317" s="1" t="str">
        <f>"9781292037264"</f>
        <v>9781292037264</v>
      </c>
      <c r="E317" s="1" t="s">
        <v>52</v>
      </c>
      <c r="F317" s="1" t="s">
        <v>40</v>
      </c>
      <c r="G317" s="3">
        <v>41472</v>
      </c>
      <c r="H317" s="3">
        <v>1</v>
      </c>
      <c r="I317" s="1" t="s">
        <v>41</v>
      </c>
      <c r="J317" s="1">
        <v>5</v>
      </c>
      <c r="L317" s="1" t="s">
        <v>1092</v>
      </c>
      <c r="M317" s="1" t="s">
        <v>556</v>
      </c>
      <c r="O317" s="1">
        <v>3.83</v>
      </c>
      <c r="Q317" s="1" t="s">
        <v>46</v>
      </c>
      <c r="R317" s="1" t="s">
        <v>47</v>
      </c>
      <c r="S317" s="1" t="s">
        <v>47</v>
      </c>
      <c r="T317" s="1" t="s">
        <v>48</v>
      </c>
      <c r="U317" s="1" t="s">
        <v>47</v>
      </c>
      <c r="V317" s="1" t="s">
        <v>47</v>
      </c>
      <c r="W317" s="1" t="s">
        <v>47</v>
      </c>
      <c r="Z317" s="1">
        <v>0</v>
      </c>
      <c r="AB317" s="1" t="s">
        <v>47</v>
      </c>
      <c r="AD317" s="1">
        <v>527174</v>
      </c>
      <c r="AF317" s="1" t="s">
        <v>47</v>
      </c>
      <c r="AG317" s="1" t="s">
        <v>47</v>
      </c>
      <c r="AH317" s="1" t="s">
        <v>49</v>
      </c>
      <c r="AI317" s="1" t="s">
        <v>47</v>
      </c>
      <c r="AK317" s="1" t="s">
        <v>48</v>
      </c>
      <c r="AL317" s="1" t="s">
        <v>1093</v>
      </c>
    </row>
    <row r="318" spans="1:38">
      <c r="A318" s="1">
        <v>5137237</v>
      </c>
      <c r="B318" s="1" t="s">
        <v>1094</v>
      </c>
      <c r="C318" s="1" t="str">
        <f>""</f>
        <v/>
      </c>
      <c r="D318" s="1" t="str">
        <f>"9780273772279"</f>
        <v>9780273772279</v>
      </c>
      <c r="E318" s="1" t="s">
        <v>52</v>
      </c>
      <c r="F318" s="1" t="s">
        <v>84</v>
      </c>
      <c r="G318" s="3">
        <v>41128</v>
      </c>
      <c r="H318" s="3">
        <v>1</v>
      </c>
      <c r="I318" s="1" t="s">
        <v>41</v>
      </c>
      <c r="J318" s="1">
        <v>1</v>
      </c>
      <c r="L318" s="1" t="s">
        <v>1095</v>
      </c>
      <c r="Q318" s="1" t="s">
        <v>46</v>
      </c>
      <c r="R318" s="1" t="s">
        <v>47</v>
      </c>
      <c r="S318" s="1" t="s">
        <v>47</v>
      </c>
      <c r="T318" s="1" t="s">
        <v>48</v>
      </c>
      <c r="U318" s="1" t="s">
        <v>47</v>
      </c>
      <c r="V318" s="1" t="s">
        <v>47</v>
      </c>
      <c r="W318" s="1" t="s">
        <v>47</v>
      </c>
      <c r="Z318" s="1">
        <v>0</v>
      </c>
      <c r="AB318" s="1" t="s">
        <v>47</v>
      </c>
      <c r="AD318" s="1">
        <v>385394</v>
      </c>
      <c r="AF318" s="1" t="s">
        <v>47</v>
      </c>
      <c r="AG318" s="1" t="s">
        <v>47</v>
      </c>
      <c r="AH318" s="1" t="s">
        <v>49</v>
      </c>
      <c r="AI318" s="1" t="s">
        <v>47</v>
      </c>
      <c r="AK318" s="1" t="s">
        <v>48</v>
      </c>
      <c r="AL318" s="1" t="s">
        <v>1096</v>
      </c>
    </row>
    <row r="319" spans="1:38">
      <c r="A319" s="1">
        <v>5137240</v>
      </c>
      <c r="B319" s="1" t="s">
        <v>1097</v>
      </c>
      <c r="C319" s="1" t="str">
        <f>"9781292022895"</f>
        <v>9781292022895</v>
      </c>
      <c r="D319" s="1" t="str">
        <f>"9781292036076"</f>
        <v>9781292036076</v>
      </c>
      <c r="E319" s="1" t="s">
        <v>52</v>
      </c>
      <c r="F319" s="1" t="s">
        <v>40</v>
      </c>
      <c r="G319" s="3">
        <v>41478</v>
      </c>
      <c r="H319" s="3">
        <v>1</v>
      </c>
      <c r="I319" s="1" t="s">
        <v>41</v>
      </c>
      <c r="J319" s="1">
        <v>5</v>
      </c>
      <c r="L319" s="1" t="s">
        <v>1098</v>
      </c>
      <c r="M319" s="1" t="s">
        <v>372</v>
      </c>
      <c r="O319" s="1">
        <v>364</v>
      </c>
      <c r="Q319" s="1" t="s">
        <v>46</v>
      </c>
      <c r="R319" s="1" t="s">
        <v>47</v>
      </c>
      <c r="S319" s="1" t="s">
        <v>47</v>
      </c>
      <c r="T319" s="1" t="s">
        <v>48</v>
      </c>
      <c r="U319" s="1" t="s">
        <v>47</v>
      </c>
      <c r="V319" s="1" t="s">
        <v>47</v>
      </c>
      <c r="W319" s="1" t="s">
        <v>47</v>
      </c>
      <c r="Z319" s="1">
        <v>0</v>
      </c>
      <c r="AB319" s="1" t="s">
        <v>47</v>
      </c>
      <c r="AD319" s="1">
        <v>527178</v>
      </c>
      <c r="AF319" s="1" t="s">
        <v>47</v>
      </c>
      <c r="AG319" s="1" t="s">
        <v>47</v>
      </c>
      <c r="AH319" s="1" t="s">
        <v>49</v>
      </c>
      <c r="AI319" s="1" t="s">
        <v>47</v>
      </c>
      <c r="AK319" s="1" t="s">
        <v>48</v>
      </c>
      <c r="AL319" s="1" t="s">
        <v>1099</v>
      </c>
    </row>
    <row r="320" spans="1:38">
      <c r="A320" s="1">
        <v>5137245</v>
      </c>
      <c r="B320" s="1" t="s">
        <v>1100</v>
      </c>
      <c r="C320" s="1" t="str">
        <f>"9781405823593"</f>
        <v>9781405823593</v>
      </c>
      <c r="D320" s="1" t="str">
        <f>"9781405891035"</f>
        <v>9781405891035</v>
      </c>
      <c r="E320" s="1" t="s">
        <v>52</v>
      </c>
      <c r="F320" s="1" t="s">
        <v>157</v>
      </c>
      <c r="G320" s="3">
        <v>38890</v>
      </c>
      <c r="H320" s="3">
        <v>1</v>
      </c>
      <c r="I320" s="1" t="s">
        <v>41</v>
      </c>
      <c r="J320" s="1">
        <v>11</v>
      </c>
      <c r="L320" s="1" t="s">
        <v>1101</v>
      </c>
      <c r="M320" s="1" t="s">
        <v>1102</v>
      </c>
      <c r="N320" s="1" t="s">
        <v>1103</v>
      </c>
      <c r="O320" s="1">
        <v>629.13199999999995</v>
      </c>
      <c r="Q320" s="1" t="s">
        <v>46</v>
      </c>
      <c r="R320" s="1" t="s">
        <v>47</v>
      </c>
      <c r="S320" s="1" t="s">
        <v>47</v>
      </c>
      <c r="T320" s="1" t="s">
        <v>48</v>
      </c>
      <c r="U320" s="1" t="s">
        <v>47</v>
      </c>
      <c r="V320" s="1" t="s">
        <v>47</v>
      </c>
      <c r="W320" s="1" t="s">
        <v>47</v>
      </c>
      <c r="Z320" s="1">
        <v>0</v>
      </c>
      <c r="AB320" s="1" t="s">
        <v>47</v>
      </c>
      <c r="AD320" s="1">
        <v>115708</v>
      </c>
      <c r="AF320" s="1" t="s">
        <v>47</v>
      </c>
      <c r="AG320" s="1" t="s">
        <v>47</v>
      </c>
      <c r="AH320" s="1" t="s">
        <v>49</v>
      </c>
      <c r="AI320" s="1" t="s">
        <v>47</v>
      </c>
      <c r="AK320" s="1" t="s">
        <v>48</v>
      </c>
      <c r="AL320" s="1" t="s">
        <v>1104</v>
      </c>
    </row>
    <row r="321" spans="1:38">
      <c r="A321" s="1">
        <v>5137247</v>
      </c>
      <c r="B321" s="1" t="s">
        <v>1105</v>
      </c>
      <c r="C321" s="1" t="str">
        <f>"9781292040912"</f>
        <v>9781292040912</v>
      </c>
      <c r="D321" s="1" t="str">
        <f>"9781292056449"</f>
        <v>9781292056449</v>
      </c>
      <c r="E321" s="1" t="s">
        <v>52</v>
      </c>
      <c r="F321" s="1" t="s">
        <v>40</v>
      </c>
      <c r="G321" s="3">
        <v>41579</v>
      </c>
      <c r="H321" s="3">
        <v>1</v>
      </c>
      <c r="I321" s="1" t="s">
        <v>41</v>
      </c>
      <c r="J321" s="1">
        <v>12</v>
      </c>
      <c r="L321" s="1" t="s">
        <v>1106</v>
      </c>
      <c r="M321" s="1" t="s">
        <v>1107</v>
      </c>
      <c r="O321" s="1">
        <v>808.06679999999994</v>
      </c>
      <c r="Q321" s="1" t="s">
        <v>46</v>
      </c>
      <c r="R321" s="1" t="s">
        <v>47</v>
      </c>
      <c r="S321" s="1" t="s">
        <v>47</v>
      </c>
      <c r="T321" s="1" t="s">
        <v>48</v>
      </c>
      <c r="U321" s="1" t="s">
        <v>47</v>
      </c>
      <c r="V321" s="1" t="s">
        <v>47</v>
      </c>
      <c r="W321" s="1" t="s">
        <v>47</v>
      </c>
      <c r="Z321" s="1">
        <v>0</v>
      </c>
      <c r="AB321" s="1" t="s">
        <v>47</v>
      </c>
      <c r="AD321" s="1">
        <v>543590</v>
      </c>
      <c r="AF321" s="1" t="s">
        <v>47</v>
      </c>
      <c r="AG321" s="1" t="s">
        <v>47</v>
      </c>
      <c r="AH321" s="1" t="s">
        <v>49</v>
      </c>
      <c r="AI321" s="1" t="s">
        <v>47</v>
      </c>
      <c r="AK321" s="1" t="s">
        <v>48</v>
      </c>
      <c r="AL321" s="1" t="s">
        <v>1108</v>
      </c>
    </row>
    <row r="322" spans="1:38">
      <c r="A322" s="1">
        <v>5137251</v>
      </c>
      <c r="B322" s="1" t="s">
        <v>1109</v>
      </c>
      <c r="C322" s="1" t="str">
        <f>"9781292021454"</f>
        <v>9781292021454</v>
      </c>
      <c r="D322" s="1" t="str">
        <f>"9781292034683"</f>
        <v>9781292034683</v>
      </c>
      <c r="E322" s="1" t="s">
        <v>52</v>
      </c>
      <c r="F322" s="1" t="s">
        <v>40</v>
      </c>
      <c r="G322" s="3">
        <v>41488</v>
      </c>
      <c r="H322" s="3">
        <v>1</v>
      </c>
      <c r="I322" s="1" t="s">
        <v>41</v>
      </c>
      <c r="J322" s="1">
        <v>4</v>
      </c>
      <c r="L322" s="1" t="s">
        <v>1110</v>
      </c>
      <c r="M322" s="1" t="s">
        <v>59</v>
      </c>
      <c r="O322" s="1">
        <v>658.40120000000002</v>
      </c>
      <c r="Q322" s="1" t="s">
        <v>46</v>
      </c>
      <c r="R322" s="1" t="s">
        <v>47</v>
      </c>
      <c r="S322" s="1" t="s">
        <v>47</v>
      </c>
      <c r="T322" s="1" t="s">
        <v>48</v>
      </c>
      <c r="U322" s="1" t="s">
        <v>47</v>
      </c>
      <c r="V322" s="1" t="s">
        <v>47</v>
      </c>
      <c r="W322" s="1" t="s">
        <v>47</v>
      </c>
      <c r="Z322" s="1">
        <v>0</v>
      </c>
      <c r="AB322" s="1" t="s">
        <v>47</v>
      </c>
      <c r="AD322" s="1">
        <v>527037</v>
      </c>
      <c r="AF322" s="1" t="s">
        <v>47</v>
      </c>
      <c r="AG322" s="1" t="s">
        <v>47</v>
      </c>
      <c r="AH322" s="1" t="s">
        <v>49</v>
      </c>
      <c r="AI322" s="1" t="s">
        <v>47</v>
      </c>
      <c r="AK322" s="1" t="s">
        <v>48</v>
      </c>
      <c r="AL322" s="1" t="s">
        <v>1111</v>
      </c>
    </row>
    <row r="323" spans="1:38">
      <c r="A323" s="1">
        <v>5137254</v>
      </c>
      <c r="B323" s="1" t="s">
        <v>1112</v>
      </c>
      <c r="C323" s="1" t="str">
        <f>"9781292021447"</f>
        <v>9781292021447</v>
      </c>
      <c r="D323" s="1" t="str">
        <f>"9781292034676"</f>
        <v>9781292034676</v>
      </c>
      <c r="E323" s="1" t="s">
        <v>52</v>
      </c>
      <c r="F323" s="1" t="s">
        <v>40</v>
      </c>
      <c r="G323" s="3">
        <v>41513</v>
      </c>
      <c r="H323" s="3">
        <v>1</v>
      </c>
      <c r="I323" s="1" t="s">
        <v>41</v>
      </c>
      <c r="J323" s="1">
        <v>13</v>
      </c>
      <c r="L323" s="1" t="s">
        <v>1113</v>
      </c>
      <c r="Q323" s="1" t="s">
        <v>46</v>
      </c>
      <c r="R323" s="1" t="s">
        <v>47</v>
      </c>
      <c r="S323" s="1" t="s">
        <v>47</v>
      </c>
      <c r="T323" s="1" t="s">
        <v>48</v>
      </c>
      <c r="U323" s="1" t="s">
        <v>47</v>
      </c>
      <c r="V323" s="1" t="s">
        <v>47</v>
      </c>
      <c r="W323" s="1" t="s">
        <v>47</v>
      </c>
      <c r="Z323" s="1">
        <v>0</v>
      </c>
      <c r="AB323" s="1" t="s">
        <v>47</v>
      </c>
      <c r="AD323" s="1">
        <v>526997</v>
      </c>
      <c r="AF323" s="1" t="s">
        <v>47</v>
      </c>
      <c r="AG323" s="1" t="s">
        <v>47</v>
      </c>
      <c r="AH323" s="1" t="s">
        <v>49</v>
      </c>
      <c r="AI323" s="1" t="s">
        <v>47</v>
      </c>
      <c r="AK323" s="1" t="s">
        <v>48</v>
      </c>
      <c r="AL323" s="1" t="s">
        <v>1114</v>
      </c>
    </row>
    <row r="324" spans="1:38">
      <c r="A324" s="1">
        <v>5137259</v>
      </c>
      <c r="B324" s="1" t="s">
        <v>1115</v>
      </c>
      <c r="C324" s="1" t="str">
        <f>"9780273764328"</f>
        <v>9780273764328</v>
      </c>
      <c r="D324" s="1" t="str">
        <f>"9780273764335"</f>
        <v>9780273764335</v>
      </c>
      <c r="E324" s="1" t="s">
        <v>52</v>
      </c>
      <c r="F324" s="1" t="s">
        <v>40</v>
      </c>
      <c r="G324" s="3">
        <v>41241</v>
      </c>
      <c r="H324" s="3">
        <v>1</v>
      </c>
      <c r="I324" s="1" t="s">
        <v>41</v>
      </c>
      <c r="J324" s="1">
        <v>6</v>
      </c>
      <c r="L324" s="1" t="s">
        <v>1116</v>
      </c>
      <c r="M324" s="1" t="s">
        <v>1117</v>
      </c>
      <c r="N324" s="1" t="s">
        <v>1118</v>
      </c>
      <c r="O324" s="1">
        <v>519.5</v>
      </c>
      <c r="Q324" s="1" t="s">
        <v>46</v>
      </c>
      <c r="R324" s="1" t="s">
        <v>47</v>
      </c>
      <c r="S324" s="1" t="s">
        <v>47</v>
      </c>
      <c r="T324" s="1" t="s">
        <v>48</v>
      </c>
      <c r="U324" s="1" t="s">
        <v>47</v>
      </c>
      <c r="V324" s="1" t="s">
        <v>47</v>
      </c>
      <c r="W324" s="1" t="s">
        <v>47</v>
      </c>
      <c r="Z324" s="1">
        <v>0</v>
      </c>
      <c r="AB324" s="1" t="s">
        <v>47</v>
      </c>
      <c r="AD324" s="1">
        <v>459568</v>
      </c>
      <c r="AF324" s="1" t="s">
        <v>47</v>
      </c>
      <c r="AG324" s="1" t="s">
        <v>47</v>
      </c>
      <c r="AH324" s="1" t="s">
        <v>49</v>
      </c>
      <c r="AI324" s="1" t="s">
        <v>47</v>
      </c>
      <c r="AK324" s="1" t="s">
        <v>48</v>
      </c>
      <c r="AL324" s="1" t="s">
        <v>1119</v>
      </c>
    </row>
    <row r="325" spans="1:38">
      <c r="A325" s="1">
        <v>5137260</v>
      </c>
      <c r="B325" s="1" t="s">
        <v>1120</v>
      </c>
      <c r="C325" s="1" t="str">
        <f>"9781292022956"</f>
        <v>9781292022956</v>
      </c>
      <c r="D325" s="1" t="str">
        <f>"9781292036137"</f>
        <v>9781292036137</v>
      </c>
      <c r="E325" s="1" t="s">
        <v>52</v>
      </c>
      <c r="F325" s="1" t="s">
        <v>40</v>
      </c>
      <c r="G325" s="3">
        <v>41514</v>
      </c>
      <c r="H325" s="3">
        <v>1</v>
      </c>
      <c r="I325" s="1" t="s">
        <v>41</v>
      </c>
      <c r="J325" s="1">
        <v>10</v>
      </c>
      <c r="L325" s="1" t="s">
        <v>1121</v>
      </c>
      <c r="Q325" s="1" t="s">
        <v>46</v>
      </c>
      <c r="R325" s="1" t="s">
        <v>47</v>
      </c>
      <c r="S325" s="1" t="s">
        <v>47</v>
      </c>
      <c r="T325" s="1" t="s">
        <v>48</v>
      </c>
      <c r="U325" s="1" t="s">
        <v>47</v>
      </c>
      <c r="V325" s="1" t="s">
        <v>47</v>
      </c>
      <c r="W325" s="1" t="s">
        <v>47</v>
      </c>
      <c r="Z325" s="1">
        <v>0</v>
      </c>
      <c r="AB325" s="1" t="s">
        <v>47</v>
      </c>
      <c r="AD325" s="1">
        <v>527319</v>
      </c>
      <c r="AF325" s="1" t="s">
        <v>47</v>
      </c>
      <c r="AG325" s="1" t="s">
        <v>47</v>
      </c>
      <c r="AH325" s="1" t="s">
        <v>49</v>
      </c>
      <c r="AI325" s="1" t="s">
        <v>47</v>
      </c>
      <c r="AK325" s="1" t="s">
        <v>48</v>
      </c>
      <c r="AL325" s="1" t="s">
        <v>1122</v>
      </c>
    </row>
    <row r="326" spans="1:38">
      <c r="A326" s="1">
        <v>5137263</v>
      </c>
      <c r="B326" s="1" t="s">
        <v>1123</v>
      </c>
      <c r="C326" s="1" t="str">
        <f>"9781292023311"</f>
        <v>9781292023311</v>
      </c>
      <c r="D326" s="1" t="str">
        <f>"9781292036489"</f>
        <v>9781292036489</v>
      </c>
      <c r="E326" s="1" t="s">
        <v>52</v>
      </c>
      <c r="F326" s="1" t="s">
        <v>40</v>
      </c>
      <c r="G326" s="3">
        <v>41480</v>
      </c>
      <c r="H326" s="3">
        <v>1</v>
      </c>
      <c r="I326" s="1" t="s">
        <v>41</v>
      </c>
      <c r="J326" s="1">
        <v>4</v>
      </c>
      <c r="L326" s="1" t="s">
        <v>352</v>
      </c>
      <c r="M326" s="1" t="s">
        <v>482</v>
      </c>
      <c r="O326" s="1">
        <v>616.90409999999997</v>
      </c>
      <c r="Q326" s="1" t="s">
        <v>46</v>
      </c>
      <c r="R326" s="1" t="s">
        <v>47</v>
      </c>
      <c r="S326" s="1" t="s">
        <v>47</v>
      </c>
      <c r="T326" s="1" t="s">
        <v>48</v>
      </c>
      <c r="U326" s="1" t="s">
        <v>47</v>
      </c>
      <c r="V326" s="1" t="s">
        <v>47</v>
      </c>
      <c r="W326" s="1" t="s">
        <v>47</v>
      </c>
      <c r="Z326" s="1">
        <v>0</v>
      </c>
      <c r="AB326" s="1" t="s">
        <v>47</v>
      </c>
      <c r="AD326" s="1">
        <v>527286</v>
      </c>
      <c r="AF326" s="1" t="s">
        <v>47</v>
      </c>
      <c r="AG326" s="1" t="s">
        <v>47</v>
      </c>
      <c r="AH326" s="1" t="s">
        <v>49</v>
      </c>
      <c r="AI326" s="1" t="s">
        <v>47</v>
      </c>
      <c r="AK326" s="1" t="s">
        <v>48</v>
      </c>
      <c r="AL326" s="1" t="s">
        <v>1124</v>
      </c>
    </row>
    <row r="327" spans="1:38">
      <c r="A327" s="1">
        <v>5137266</v>
      </c>
      <c r="B327" s="1" t="s">
        <v>1125</v>
      </c>
      <c r="C327" s="1" t="str">
        <f>"9781292041636"</f>
        <v>9781292041636</v>
      </c>
      <c r="D327" s="1" t="str">
        <f>"9781292051840"</f>
        <v>9781292051840</v>
      </c>
      <c r="E327" s="1" t="s">
        <v>52</v>
      </c>
      <c r="F327" s="1" t="s">
        <v>40</v>
      </c>
      <c r="G327" s="3">
        <v>41579</v>
      </c>
      <c r="H327" s="3">
        <v>1</v>
      </c>
      <c r="I327" s="1" t="s">
        <v>41</v>
      </c>
      <c r="J327" s="1">
        <v>4</v>
      </c>
      <c r="L327" s="1" t="s">
        <v>1126</v>
      </c>
      <c r="M327" s="1" t="s">
        <v>482</v>
      </c>
      <c r="O327" s="1">
        <v>616.85500000000002</v>
      </c>
      <c r="Q327" s="1" t="s">
        <v>46</v>
      </c>
      <c r="R327" s="1" t="s">
        <v>47</v>
      </c>
      <c r="S327" s="1" t="s">
        <v>47</v>
      </c>
      <c r="T327" s="1" t="s">
        <v>48</v>
      </c>
      <c r="U327" s="1" t="s">
        <v>47</v>
      </c>
      <c r="V327" s="1" t="s">
        <v>47</v>
      </c>
      <c r="W327" s="1" t="s">
        <v>47</v>
      </c>
      <c r="Z327" s="1">
        <v>0</v>
      </c>
      <c r="AB327" s="1" t="s">
        <v>47</v>
      </c>
      <c r="AD327" s="1">
        <v>543537</v>
      </c>
      <c r="AF327" s="1" t="s">
        <v>47</v>
      </c>
      <c r="AG327" s="1" t="s">
        <v>47</v>
      </c>
      <c r="AH327" s="1" t="s">
        <v>49</v>
      </c>
      <c r="AI327" s="1" t="s">
        <v>47</v>
      </c>
      <c r="AK327" s="1" t="s">
        <v>48</v>
      </c>
      <c r="AL327" s="1" t="s">
        <v>1127</v>
      </c>
    </row>
    <row r="328" spans="1:38">
      <c r="A328" s="1">
        <v>5137271</v>
      </c>
      <c r="B328" s="1" t="s">
        <v>1128</v>
      </c>
      <c r="C328" s="1" t="str">
        <f>"9781292041964"</f>
        <v>9781292041964</v>
      </c>
      <c r="D328" s="1" t="str">
        <f>"9781292051864"</f>
        <v>9781292051864</v>
      </c>
      <c r="E328" s="1" t="s">
        <v>52</v>
      </c>
      <c r="F328" s="1" t="s">
        <v>40</v>
      </c>
      <c r="G328" s="3">
        <v>41550</v>
      </c>
      <c r="H328" s="3">
        <v>1</v>
      </c>
      <c r="I328" s="1" t="s">
        <v>41</v>
      </c>
      <c r="J328" s="1">
        <v>2</v>
      </c>
      <c r="L328" s="1" t="s">
        <v>1129</v>
      </c>
      <c r="Q328" s="1" t="s">
        <v>46</v>
      </c>
      <c r="R328" s="1" t="s">
        <v>47</v>
      </c>
      <c r="S328" s="1" t="s">
        <v>47</v>
      </c>
      <c r="T328" s="1" t="s">
        <v>48</v>
      </c>
      <c r="U328" s="1" t="s">
        <v>47</v>
      </c>
      <c r="V328" s="1" t="s">
        <v>47</v>
      </c>
      <c r="W328" s="1" t="s">
        <v>47</v>
      </c>
      <c r="Z328" s="1">
        <v>0</v>
      </c>
      <c r="AB328" s="1" t="s">
        <v>47</v>
      </c>
      <c r="AD328" s="1">
        <v>543569</v>
      </c>
      <c r="AF328" s="1" t="s">
        <v>47</v>
      </c>
      <c r="AG328" s="1" t="s">
        <v>47</v>
      </c>
      <c r="AH328" s="1" t="s">
        <v>49</v>
      </c>
      <c r="AI328" s="1" t="s">
        <v>47</v>
      </c>
      <c r="AK328" s="1" t="s">
        <v>48</v>
      </c>
      <c r="AL328" s="1" t="s">
        <v>1130</v>
      </c>
    </row>
    <row r="329" spans="1:38">
      <c r="A329" s="1">
        <v>5137275</v>
      </c>
      <c r="B329" s="1" t="s">
        <v>1131</v>
      </c>
      <c r="C329" s="1" t="str">
        <f>"9781292021867"</f>
        <v>9781292021867</v>
      </c>
      <c r="D329" s="1" t="str">
        <f>"9781292035079"</f>
        <v>9781292035079</v>
      </c>
      <c r="E329" s="1" t="s">
        <v>52</v>
      </c>
      <c r="F329" s="1" t="s">
        <v>40</v>
      </c>
      <c r="G329" s="3">
        <v>41537</v>
      </c>
      <c r="H329" s="3">
        <v>1</v>
      </c>
      <c r="I329" s="1" t="s">
        <v>41</v>
      </c>
      <c r="J329" s="1">
        <v>3</v>
      </c>
      <c r="L329" s="1" t="s">
        <v>1132</v>
      </c>
      <c r="M329" s="1" t="s">
        <v>482</v>
      </c>
      <c r="O329" s="1">
        <v>616.12075470000002</v>
      </c>
      <c r="Q329" s="1" t="s">
        <v>46</v>
      </c>
      <c r="R329" s="1" t="s">
        <v>47</v>
      </c>
      <c r="S329" s="1" t="s">
        <v>47</v>
      </c>
      <c r="T329" s="1" t="s">
        <v>48</v>
      </c>
      <c r="U329" s="1" t="s">
        <v>47</v>
      </c>
      <c r="V329" s="1" t="s">
        <v>47</v>
      </c>
      <c r="W329" s="1" t="s">
        <v>47</v>
      </c>
      <c r="Z329" s="1">
        <v>0</v>
      </c>
      <c r="AB329" s="1" t="s">
        <v>47</v>
      </c>
      <c r="AD329" s="1">
        <v>527313</v>
      </c>
      <c r="AF329" s="1" t="s">
        <v>47</v>
      </c>
      <c r="AG329" s="1" t="s">
        <v>47</v>
      </c>
      <c r="AH329" s="1" t="s">
        <v>49</v>
      </c>
      <c r="AI329" s="1" t="s">
        <v>47</v>
      </c>
      <c r="AK329" s="1" t="s">
        <v>48</v>
      </c>
      <c r="AL329" s="1" t="s">
        <v>1133</v>
      </c>
    </row>
    <row r="330" spans="1:38">
      <c r="A330" s="1">
        <v>5137278</v>
      </c>
      <c r="B330" s="1" t="s">
        <v>1134</v>
      </c>
      <c r="C330" s="1" t="str">
        <f>""</f>
        <v/>
      </c>
      <c r="D330" s="1" t="str">
        <f>"9780273774280"</f>
        <v>9780273774280</v>
      </c>
      <c r="E330" s="1" t="s">
        <v>52</v>
      </c>
      <c r="F330" s="1" t="s">
        <v>40</v>
      </c>
      <c r="G330" s="3">
        <v>41353</v>
      </c>
      <c r="H330" s="3">
        <v>1</v>
      </c>
      <c r="I330" s="1" t="s">
        <v>41</v>
      </c>
      <c r="J330" s="1">
        <v>5</v>
      </c>
      <c r="L330" s="1" t="s">
        <v>1135</v>
      </c>
      <c r="Q330" s="1" t="s">
        <v>46</v>
      </c>
      <c r="R330" s="1" t="s">
        <v>47</v>
      </c>
      <c r="S330" s="1" t="s">
        <v>47</v>
      </c>
      <c r="T330" s="1" t="s">
        <v>48</v>
      </c>
      <c r="U330" s="1" t="s">
        <v>47</v>
      </c>
      <c r="V330" s="1" t="s">
        <v>47</v>
      </c>
      <c r="W330" s="1" t="s">
        <v>47</v>
      </c>
      <c r="Z330" s="1">
        <v>0</v>
      </c>
      <c r="AB330" s="1" t="s">
        <v>47</v>
      </c>
      <c r="AD330" s="1">
        <v>469806</v>
      </c>
      <c r="AF330" s="1" t="s">
        <v>47</v>
      </c>
      <c r="AG330" s="1" t="s">
        <v>47</v>
      </c>
      <c r="AH330" s="1" t="s">
        <v>49</v>
      </c>
      <c r="AI330" s="1" t="s">
        <v>47</v>
      </c>
      <c r="AK330" s="1" t="s">
        <v>48</v>
      </c>
      <c r="AL330" s="1" t="s">
        <v>1136</v>
      </c>
    </row>
    <row r="331" spans="1:38">
      <c r="A331" s="1">
        <v>5137279</v>
      </c>
      <c r="B331" s="1" t="s">
        <v>1137</v>
      </c>
      <c r="C331" s="1" t="str">
        <f>"9781292020808"</f>
        <v>9781292020808</v>
      </c>
      <c r="D331" s="1" t="str">
        <f>"9781292034058"</f>
        <v>9781292034058</v>
      </c>
      <c r="E331" s="1" t="s">
        <v>52</v>
      </c>
      <c r="F331" s="1" t="s">
        <v>40</v>
      </c>
      <c r="G331" s="3">
        <v>41478</v>
      </c>
      <c r="H331" s="3">
        <v>1</v>
      </c>
      <c r="I331" s="1" t="s">
        <v>41</v>
      </c>
      <c r="J331" s="1">
        <v>13</v>
      </c>
      <c r="L331" s="1" t="s">
        <v>1138</v>
      </c>
      <c r="M331" s="1" t="s">
        <v>100</v>
      </c>
      <c r="O331" s="1">
        <v>155.4</v>
      </c>
      <c r="Q331" s="1" t="s">
        <v>46</v>
      </c>
      <c r="R331" s="1" t="s">
        <v>47</v>
      </c>
      <c r="S331" s="1" t="s">
        <v>47</v>
      </c>
      <c r="T331" s="1" t="s">
        <v>48</v>
      </c>
      <c r="U331" s="1" t="s">
        <v>47</v>
      </c>
      <c r="V331" s="1" t="s">
        <v>47</v>
      </c>
      <c r="W331" s="1" t="s">
        <v>47</v>
      </c>
      <c r="Z331" s="1">
        <v>0</v>
      </c>
      <c r="AB331" s="1" t="s">
        <v>47</v>
      </c>
      <c r="AD331" s="1">
        <v>526958</v>
      </c>
      <c r="AF331" s="1" t="s">
        <v>47</v>
      </c>
      <c r="AG331" s="1" t="s">
        <v>47</v>
      </c>
      <c r="AH331" s="1" t="s">
        <v>49</v>
      </c>
      <c r="AI331" s="1" t="s">
        <v>47</v>
      </c>
      <c r="AK331" s="1" t="s">
        <v>48</v>
      </c>
      <c r="AL331" s="1" t="s">
        <v>1139</v>
      </c>
    </row>
    <row r="332" spans="1:38">
      <c r="A332" s="1">
        <v>5137280</v>
      </c>
      <c r="B332" s="1" t="s">
        <v>1140</v>
      </c>
      <c r="C332" s="1" t="str">
        <f>"9781292025247"</f>
        <v>9781292025247</v>
      </c>
      <c r="D332" s="1" t="str">
        <f>"9781292037813"</f>
        <v>9781292037813</v>
      </c>
      <c r="E332" s="1" t="s">
        <v>52</v>
      </c>
      <c r="F332" s="1" t="s">
        <v>40</v>
      </c>
      <c r="G332" s="3">
        <v>41515</v>
      </c>
      <c r="H332" s="3">
        <v>1</v>
      </c>
      <c r="I332" s="1" t="s">
        <v>41</v>
      </c>
      <c r="J332" s="1">
        <v>8</v>
      </c>
      <c r="L332" s="1" t="s">
        <v>1141</v>
      </c>
      <c r="Q332" s="1" t="s">
        <v>46</v>
      </c>
      <c r="R332" s="1" t="s">
        <v>47</v>
      </c>
      <c r="S332" s="1" t="s">
        <v>47</v>
      </c>
      <c r="T332" s="1" t="s">
        <v>48</v>
      </c>
      <c r="U332" s="1" t="s">
        <v>47</v>
      </c>
      <c r="V332" s="1" t="s">
        <v>47</v>
      </c>
      <c r="W332" s="1" t="s">
        <v>47</v>
      </c>
      <c r="Z332" s="1">
        <v>0</v>
      </c>
      <c r="AB332" s="1" t="s">
        <v>47</v>
      </c>
      <c r="AD332" s="1">
        <v>527295</v>
      </c>
      <c r="AF332" s="1" t="s">
        <v>47</v>
      </c>
      <c r="AG332" s="1" t="s">
        <v>47</v>
      </c>
      <c r="AH332" s="1" t="s">
        <v>49</v>
      </c>
      <c r="AI332" s="1" t="s">
        <v>47</v>
      </c>
      <c r="AK332" s="1" t="s">
        <v>48</v>
      </c>
      <c r="AL332" s="1" t="s">
        <v>1142</v>
      </c>
    </row>
    <row r="333" spans="1:38">
      <c r="A333" s="1">
        <v>5137289</v>
      </c>
      <c r="B333" s="1" t="s">
        <v>1143</v>
      </c>
      <c r="C333" s="1" t="str">
        <f>"9781292040202"</f>
        <v>9781292040202</v>
      </c>
      <c r="D333" s="1" t="str">
        <f>"9781292051901"</f>
        <v>9781292051901</v>
      </c>
      <c r="E333" s="1" t="s">
        <v>52</v>
      </c>
      <c r="F333" s="1" t="s">
        <v>40</v>
      </c>
      <c r="G333" s="3">
        <v>41579</v>
      </c>
      <c r="H333" s="3">
        <v>1</v>
      </c>
      <c r="I333" s="1" t="s">
        <v>41</v>
      </c>
      <c r="J333" s="1">
        <v>4</v>
      </c>
      <c r="L333" s="1" t="s">
        <v>1144</v>
      </c>
      <c r="M333" s="1" t="s">
        <v>242</v>
      </c>
      <c r="O333" s="1">
        <v>512.13</v>
      </c>
      <c r="Q333" s="1" t="s">
        <v>46</v>
      </c>
      <c r="R333" s="1" t="s">
        <v>47</v>
      </c>
      <c r="S333" s="1" t="s">
        <v>47</v>
      </c>
      <c r="T333" s="1" t="s">
        <v>48</v>
      </c>
      <c r="U333" s="1" t="s">
        <v>47</v>
      </c>
      <c r="V333" s="1" t="s">
        <v>47</v>
      </c>
      <c r="W333" s="1" t="s">
        <v>47</v>
      </c>
      <c r="Z333" s="1">
        <v>0</v>
      </c>
      <c r="AB333" s="1" t="s">
        <v>47</v>
      </c>
      <c r="AD333" s="1">
        <v>543612</v>
      </c>
      <c r="AF333" s="1" t="s">
        <v>47</v>
      </c>
      <c r="AG333" s="1" t="s">
        <v>47</v>
      </c>
      <c r="AH333" s="1" t="s">
        <v>49</v>
      </c>
      <c r="AI333" s="1" t="s">
        <v>47</v>
      </c>
      <c r="AK333" s="1" t="s">
        <v>48</v>
      </c>
      <c r="AL333" s="1" t="s">
        <v>1145</v>
      </c>
    </row>
    <row r="334" spans="1:38">
      <c r="A334" s="1">
        <v>5137290</v>
      </c>
      <c r="B334" s="1" t="s">
        <v>495</v>
      </c>
      <c r="C334" s="1" t="str">
        <f>"9781292023649"</f>
        <v>9781292023649</v>
      </c>
      <c r="D334" s="1" t="str">
        <f>"9781292036793"</f>
        <v>9781292036793</v>
      </c>
      <c r="E334" s="1" t="s">
        <v>52</v>
      </c>
      <c r="F334" s="1" t="s">
        <v>40</v>
      </c>
      <c r="G334" s="3">
        <v>41514</v>
      </c>
      <c r="H334" s="3">
        <v>1</v>
      </c>
      <c r="I334" s="1" t="s">
        <v>41</v>
      </c>
      <c r="J334" s="1">
        <v>4</v>
      </c>
      <c r="L334" s="1" t="s">
        <v>1146</v>
      </c>
      <c r="Q334" s="1" t="s">
        <v>46</v>
      </c>
      <c r="R334" s="1" t="s">
        <v>47</v>
      </c>
      <c r="S334" s="1" t="s">
        <v>47</v>
      </c>
      <c r="T334" s="1" t="s">
        <v>48</v>
      </c>
      <c r="U334" s="1" t="s">
        <v>47</v>
      </c>
      <c r="V334" s="1" t="s">
        <v>47</v>
      </c>
      <c r="W334" s="1" t="s">
        <v>47</v>
      </c>
      <c r="Z334" s="1">
        <v>0</v>
      </c>
      <c r="AB334" s="1" t="s">
        <v>47</v>
      </c>
      <c r="AD334" s="1">
        <v>527253</v>
      </c>
      <c r="AF334" s="1" t="s">
        <v>47</v>
      </c>
      <c r="AG334" s="1" t="s">
        <v>47</v>
      </c>
      <c r="AH334" s="1" t="s">
        <v>49</v>
      </c>
      <c r="AI334" s="1" t="s">
        <v>47</v>
      </c>
      <c r="AK334" s="1" t="s">
        <v>48</v>
      </c>
      <c r="AL334" s="1" t="s">
        <v>1147</v>
      </c>
    </row>
    <row r="335" spans="1:38">
      <c r="A335" s="1">
        <v>5137291</v>
      </c>
      <c r="B335" s="1" t="s">
        <v>1148</v>
      </c>
      <c r="C335" s="1" t="str">
        <f>"9781292024882"</f>
        <v>9781292024882</v>
      </c>
      <c r="D335" s="1" t="str">
        <f>"9781292037523"</f>
        <v>9781292037523</v>
      </c>
      <c r="E335" s="1" t="s">
        <v>52</v>
      </c>
      <c r="F335" s="1" t="s">
        <v>40</v>
      </c>
      <c r="G335" s="3">
        <v>41493</v>
      </c>
      <c r="H335" s="3">
        <v>1</v>
      </c>
      <c r="I335" s="1" t="s">
        <v>41</v>
      </c>
      <c r="J335" s="1">
        <v>4</v>
      </c>
      <c r="L335" s="1" t="s">
        <v>1149</v>
      </c>
      <c r="M335" s="1" t="s">
        <v>242</v>
      </c>
      <c r="O335" s="1">
        <v>512</v>
      </c>
      <c r="Q335" s="1" t="s">
        <v>46</v>
      </c>
      <c r="R335" s="1" t="s">
        <v>47</v>
      </c>
      <c r="S335" s="1" t="s">
        <v>47</v>
      </c>
      <c r="T335" s="1" t="s">
        <v>48</v>
      </c>
      <c r="U335" s="1" t="s">
        <v>47</v>
      </c>
      <c r="V335" s="1" t="s">
        <v>47</v>
      </c>
      <c r="W335" s="1" t="s">
        <v>47</v>
      </c>
      <c r="Z335" s="1">
        <v>0</v>
      </c>
      <c r="AB335" s="1" t="s">
        <v>47</v>
      </c>
      <c r="AD335" s="1">
        <v>527418</v>
      </c>
      <c r="AF335" s="1" t="s">
        <v>47</v>
      </c>
      <c r="AG335" s="1" t="s">
        <v>47</v>
      </c>
      <c r="AH335" s="1" t="s">
        <v>49</v>
      </c>
      <c r="AI335" s="1" t="s">
        <v>47</v>
      </c>
      <c r="AK335" s="1" t="s">
        <v>48</v>
      </c>
      <c r="AL335" s="1" t="s">
        <v>1150</v>
      </c>
    </row>
    <row r="336" spans="1:38">
      <c r="A336" s="1">
        <v>5137302</v>
      </c>
      <c r="B336" s="1" t="s">
        <v>1151</v>
      </c>
      <c r="C336" s="1" t="str">
        <f>"9781292020440"</f>
        <v>9781292020440</v>
      </c>
      <c r="D336" s="1" t="str">
        <f>"9781292033754"</f>
        <v>9781292033754</v>
      </c>
      <c r="E336" s="1" t="s">
        <v>52</v>
      </c>
      <c r="F336" s="1" t="s">
        <v>40</v>
      </c>
      <c r="G336" s="3">
        <v>41478</v>
      </c>
      <c r="H336" s="3">
        <v>1</v>
      </c>
      <c r="I336" s="1" t="s">
        <v>41</v>
      </c>
      <c r="J336" s="1">
        <v>2</v>
      </c>
      <c r="L336" s="1" t="s">
        <v>1152</v>
      </c>
      <c r="M336" s="1" t="s">
        <v>372</v>
      </c>
      <c r="O336" s="1">
        <v>363.25</v>
      </c>
      <c r="Q336" s="1" t="s">
        <v>46</v>
      </c>
      <c r="R336" s="1" t="s">
        <v>47</v>
      </c>
      <c r="S336" s="1" t="s">
        <v>47</v>
      </c>
      <c r="T336" s="1" t="s">
        <v>48</v>
      </c>
      <c r="U336" s="1" t="s">
        <v>47</v>
      </c>
      <c r="V336" s="1" t="s">
        <v>47</v>
      </c>
      <c r="W336" s="1" t="s">
        <v>47</v>
      </c>
      <c r="Z336" s="1">
        <v>0</v>
      </c>
      <c r="AB336" s="1" t="s">
        <v>47</v>
      </c>
      <c r="AD336" s="1">
        <v>527158</v>
      </c>
      <c r="AF336" s="1" t="s">
        <v>47</v>
      </c>
      <c r="AG336" s="1" t="s">
        <v>47</v>
      </c>
      <c r="AH336" s="1" t="s">
        <v>49</v>
      </c>
      <c r="AI336" s="1" t="s">
        <v>47</v>
      </c>
      <c r="AK336" s="1" t="s">
        <v>48</v>
      </c>
      <c r="AL336" s="1" t="s">
        <v>1153</v>
      </c>
    </row>
    <row r="337" spans="1:38">
      <c r="A337" s="1">
        <v>5137311</v>
      </c>
      <c r="B337" s="1" t="s">
        <v>1154</v>
      </c>
      <c r="C337" s="1" t="str">
        <f>"9781292042442"</f>
        <v>9781292042442</v>
      </c>
      <c r="D337" s="1" t="str">
        <f>"9781292051925"</f>
        <v>9781292051925</v>
      </c>
      <c r="E337" s="1" t="s">
        <v>52</v>
      </c>
      <c r="F337" s="1" t="s">
        <v>40</v>
      </c>
      <c r="G337" s="3">
        <v>41579</v>
      </c>
      <c r="H337" s="3">
        <v>1</v>
      </c>
      <c r="I337" s="1" t="s">
        <v>41</v>
      </c>
      <c r="J337" s="1">
        <v>4</v>
      </c>
      <c r="L337" s="1" t="s">
        <v>1155</v>
      </c>
      <c r="M337" s="1" t="s">
        <v>1156</v>
      </c>
      <c r="O337" s="1">
        <v>700.9</v>
      </c>
      <c r="Q337" s="1" t="s">
        <v>46</v>
      </c>
      <c r="R337" s="1" t="s">
        <v>47</v>
      </c>
      <c r="S337" s="1" t="s">
        <v>47</v>
      </c>
      <c r="T337" s="1" t="s">
        <v>48</v>
      </c>
      <c r="U337" s="1" t="s">
        <v>47</v>
      </c>
      <c r="V337" s="1" t="s">
        <v>47</v>
      </c>
      <c r="W337" s="1" t="s">
        <v>47</v>
      </c>
      <c r="Z337" s="1">
        <v>0</v>
      </c>
      <c r="AB337" s="1" t="s">
        <v>47</v>
      </c>
      <c r="AD337" s="1">
        <v>543327</v>
      </c>
      <c r="AF337" s="1" t="s">
        <v>47</v>
      </c>
      <c r="AG337" s="1" t="s">
        <v>47</v>
      </c>
      <c r="AH337" s="1" t="s">
        <v>49</v>
      </c>
      <c r="AI337" s="1" t="s">
        <v>47</v>
      </c>
      <c r="AK337" s="1" t="s">
        <v>48</v>
      </c>
      <c r="AL337" s="1" t="s">
        <v>1157</v>
      </c>
    </row>
    <row r="338" spans="1:38">
      <c r="A338" s="1">
        <v>5137314</v>
      </c>
      <c r="B338" s="1" t="s">
        <v>1158</v>
      </c>
      <c r="C338" s="1" t="str">
        <f>"9781292022499"</f>
        <v>9781292022499</v>
      </c>
      <c r="D338" s="1" t="str">
        <f>"9781292035697"</f>
        <v>9781292035697</v>
      </c>
      <c r="E338" s="1" t="s">
        <v>52</v>
      </c>
      <c r="F338" s="1" t="s">
        <v>40</v>
      </c>
      <c r="G338" s="3">
        <v>41484</v>
      </c>
      <c r="H338" s="3">
        <v>1</v>
      </c>
      <c r="I338" s="1" t="s">
        <v>41</v>
      </c>
      <c r="J338" s="1">
        <v>8</v>
      </c>
      <c r="L338" s="1" t="s">
        <v>1159</v>
      </c>
      <c r="M338" s="1" t="s">
        <v>372</v>
      </c>
      <c r="O338" s="1">
        <v>300.72000000000003</v>
      </c>
      <c r="Q338" s="1" t="s">
        <v>46</v>
      </c>
      <c r="R338" s="1" t="s">
        <v>47</v>
      </c>
      <c r="S338" s="1" t="s">
        <v>47</v>
      </c>
      <c r="T338" s="1" t="s">
        <v>48</v>
      </c>
      <c r="U338" s="1" t="s">
        <v>47</v>
      </c>
      <c r="V338" s="1" t="s">
        <v>47</v>
      </c>
      <c r="W338" s="1" t="s">
        <v>47</v>
      </c>
      <c r="Z338" s="1">
        <v>0</v>
      </c>
      <c r="AB338" s="1" t="s">
        <v>47</v>
      </c>
      <c r="AD338" s="1">
        <v>527007</v>
      </c>
      <c r="AF338" s="1" t="s">
        <v>47</v>
      </c>
      <c r="AG338" s="1" t="s">
        <v>47</v>
      </c>
      <c r="AH338" s="1" t="s">
        <v>49</v>
      </c>
      <c r="AI338" s="1" t="s">
        <v>47</v>
      </c>
      <c r="AK338" s="1" t="s">
        <v>48</v>
      </c>
      <c r="AL338" s="1" t="s">
        <v>1160</v>
      </c>
    </row>
    <row r="339" spans="1:38">
      <c r="A339" s="1">
        <v>5137315</v>
      </c>
      <c r="B339" s="1" t="s">
        <v>1161</v>
      </c>
      <c r="C339" s="1" t="str">
        <f>"9781292042008"</f>
        <v>9781292042008</v>
      </c>
      <c r="D339" s="1" t="str">
        <f>"9781292051932"</f>
        <v>9781292051932</v>
      </c>
      <c r="E339" s="1" t="s">
        <v>52</v>
      </c>
      <c r="F339" s="1" t="s">
        <v>40</v>
      </c>
      <c r="G339" s="3">
        <v>41579</v>
      </c>
      <c r="H339" s="3">
        <v>1</v>
      </c>
      <c r="I339" s="1" t="s">
        <v>41</v>
      </c>
      <c r="J339" s="1">
        <v>8</v>
      </c>
      <c r="L339" s="1" t="s">
        <v>1162</v>
      </c>
      <c r="M339" s="1" t="s">
        <v>54</v>
      </c>
      <c r="O339" s="1">
        <v>371.19200000000001</v>
      </c>
      <c r="Q339" s="1" t="s">
        <v>46</v>
      </c>
      <c r="R339" s="1" t="s">
        <v>47</v>
      </c>
      <c r="S339" s="1" t="s">
        <v>47</v>
      </c>
      <c r="T339" s="1" t="s">
        <v>48</v>
      </c>
      <c r="U339" s="1" t="s">
        <v>47</v>
      </c>
      <c r="V339" s="1" t="s">
        <v>47</v>
      </c>
      <c r="W339" s="1" t="s">
        <v>47</v>
      </c>
      <c r="Z339" s="1">
        <v>0</v>
      </c>
      <c r="AB339" s="1" t="s">
        <v>47</v>
      </c>
      <c r="AD339" s="1">
        <v>543637</v>
      </c>
      <c r="AF339" s="1" t="s">
        <v>47</v>
      </c>
      <c r="AG339" s="1" t="s">
        <v>47</v>
      </c>
      <c r="AH339" s="1" t="s">
        <v>49</v>
      </c>
      <c r="AI339" s="1" t="s">
        <v>47</v>
      </c>
      <c r="AK339" s="1" t="s">
        <v>48</v>
      </c>
      <c r="AL339" s="1" t="s">
        <v>1163</v>
      </c>
    </row>
    <row r="340" spans="1:38">
      <c r="A340" s="1">
        <v>5137318</v>
      </c>
      <c r="B340" s="1" t="s">
        <v>1164</v>
      </c>
      <c r="C340" s="1" t="str">
        <f>""</f>
        <v/>
      </c>
      <c r="D340" s="1" t="str">
        <f>"9780273792062"</f>
        <v>9780273792062</v>
      </c>
      <c r="E340" s="1" t="s">
        <v>52</v>
      </c>
      <c r="F340" s="1" t="s">
        <v>40</v>
      </c>
      <c r="G340" s="3">
        <v>41584</v>
      </c>
      <c r="H340" s="3">
        <v>43153</v>
      </c>
      <c r="I340" s="1" t="s">
        <v>41</v>
      </c>
      <c r="J340" s="1">
        <v>3</v>
      </c>
      <c r="L340" s="1" t="s">
        <v>1165</v>
      </c>
      <c r="Q340" s="1" t="s">
        <v>46</v>
      </c>
      <c r="R340" s="1" t="s">
        <v>47</v>
      </c>
      <c r="S340" s="1" t="s">
        <v>47</v>
      </c>
      <c r="T340" s="1" t="s">
        <v>48</v>
      </c>
      <c r="U340" s="1" t="s">
        <v>47</v>
      </c>
      <c r="V340" s="1" t="s">
        <v>47</v>
      </c>
      <c r="W340" s="1" t="s">
        <v>47</v>
      </c>
      <c r="Z340" s="1">
        <v>0</v>
      </c>
      <c r="AB340" s="1" t="s">
        <v>47</v>
      </c>
      <c r="AD340" s="1">
        <v>523732</v>
      </c>
      <c r="AF340" s="1" t="s">
        <v>47</v>
      </c>
      <c r="AG340" s="1" t="s">
        <v>47</v>
      </c>
      <c r="AH340" s="1" t="s">
        <v>49</v>
      </c>
      <c r="AI340" s="1" t="s">
        <v>47</v>
      </c>
      <c r="AK340" s="1" t="s">
        <v>48</v>
      </c>
      <c r="AL340" s="1" t="s">
        <v>1166</v>
      </c>
    </row>
    <row r="341" spans="1:38">
      <c r="A341" s="1">
        <v>5137323</v>
      </c>
      <c r="B341" s="1" t="s">
        <v>1167</v>
      </c>
      <c r="C341" s="1" t="str">
        <f>""</f>
        <v/>
      </c>
      <c r="D341" s="1" t="str">
        <f>"9780273775652"</f>
        <v>9780273775652</v>
      </c>
      <c r="E341" s="1" t="s">
        <v>52</v>
      </c>
      <c r="F341" s="1" t="s">
        <v>40</v>
      </c>
      <c r="G341" s="3">
        <v>41584</v>
      </c>
      <c r="H341" s="3">
        <v>1</v>
      </c>
      <c r="I341" s="1" t="s">
        <v>41</v>
      </c>
      <c r="J341" s="1">
        <v>12</v>
      </c>
      <c r="L341" s="1" t="s">
        <v>1168</v>
      </c>
      <c r="Q341" s="1" t="s">
        <v>46</v>
      </c>
      <c r="R341" s="1" t="s">
        <v>47</v>
      </c>
      <c r="S341" s="1" t="s">
        <v>47</v>
      </c>
      <c r="T341" s="1" t="s">
        <v>48</v>
      </c>
      <c r="U341" s="1" t="s">
        <v>47</v>
      </c>
      <c r="V341" s="1" t="s">
        <v>47</v>
      </c>
      <c r="W341" s="1" t="s">
        <v>47</v>
      </c>
      <c r="Z341" s="1">
        <v>0</v>
      </c>
      <c r="AB341" s="1" t="s">
        <v>47</v>
      </c>
      <c r="AD341" s="1">
        <v>523702</v>
      </c>
      <c r="AF341" s="1" t="s">
        <v>47</v>
      </c>
      <c r="AG341" s="1" t="s">
        <v>47</v>
      </c>
      <c r="AH341" s="1" t="s">
        <v>49</v>
      </c>
      <c r="AI341" s="1" t="s">
        <v>47</v>
      </c>
      <c r="AK341" s="1" t="s">
        <v>48</v>
      </c>
      <c r="AL341" s="1" t="s">
        <v>1169</v>
      </c>
    </row>
    <row r="342" spans="1:38">
      <c r="A342" s="1">
        <v>5137325</v>
      </c>
      <c r="B342" s="1" t="s">
        <v>1170</v>
      </c>
      <c r="C342" s="1" t="str">
        <f>"9781292042077"</f>
        <v>9781292042077</v>
      </c>
      <c r="D342" s="1" t="str">
        <f>"9781292051956"</f>
        <v>9781292051956</v>
      </c>
      <c r="E342" s="1" t="s">
        <v>52</v>
      </c>
      <c r="F342" s="1" t="s">
        <v>40</v>
      </c>
      <c r="G342" s="3">
        <v>41579</v>
      </c>
      <c r="H342" s="3">
        <v>1</v>
      </c>
      <c r="I342" s="1" t="s">
        <v>41</v>
      </c>
      <c r="J342" s="1">
        <v>5</v>
      </c>
      <c r="L342" s="1" t="s">
        <v>1171</v>
      </c>
      <c r="M342" s="1" t="s">
        <v>1172</v>
      </c>
      <c r="O342" s="1">
        <v>362.204250683</v>
      </c>
      <c r="Q342" s="1" t="s">
        <v>46</v>
      </c>
      <c r="R342" s="1" t="s">
        <v>47</v>
      </c>
      <c r="S342" s="1" t="s">
        <v>47</v>
      </c>
      <c r="T342" s="1" t="s">
        <v>48</v>
      </c>
      <c r="U342" s="1" t="s">
        <v>47</v>
      </c>
      <c r="V342" s="1" t="s">
        <v>47</v>
      </c>
      <c r="W342" s="1" t="s">
        <v>47</v>
      </c>
      <c r="Z342" s="1">
        <v>0</v>
      </c>
      <c r="AB342" s="1" t="s">
        <v>47</v>
      </c>
      <c r="AD342" s="1">
        <v>543376</v>
      </c>
      <c r="AF342" s="1" t="s">
        <v>47</v>
      </c>
      <c r="AG342" s="1" t="s">
        <v>47</v>
      </c>
      <c r="AH342" s="1" t="s">
        <v>49</v>
      </c>
      <c r="AI342" s="1" t="s">
        <v>47</v>
      </c>
      <c r="AK342" s="1" t="s">
        <v>48</v>
      </c>
      <c r="AL342" s="1" t="s">
        <v>1173</v>
      </c>
    </row>
    <row r="343" spans="1:38">
      <c r="A343" s="1">
        <v>5137327</v>
      </c>
      <c r="B343" s="1" t="s">
        <v>1174</v>
      </c>
      <c r="C343" s="1" t="str">
        <f>"9781292041971"</f>
        <v>9781292041971</v>
      </c>
      <c r="D343" s="1" t="str">
        <f>"9781292051963"</f>
        <v>9781292051963</v>
      </c>
      <c r="E343" s="1" t="s">
        <v>52</v>
      </c>
      <c r="F343" s="1" t="s">
        <v>40</v>
      </c>
      <c r="G343" s="3">
        <v>41579</v>
      </c>
      <c r="H343" s="3">
        <v>1</v>
      </c>
      <c r="I343" s="1" t="s">
        <v>41</v>
      </c>
      <c r="J343" s="1">
        <v>10</v>
      </c>
      <c r="L343" s="1" t="s">
        <v>1175</v>
      </c>
      <c r="M343" s="1" t="s">
        <v>54</v>
      </c>
      <c r="O343" s="1">
        <v>370.72</v>
      </c>
      <c r="Q343" s="1" t="s">
        <v>46</v>
      </c>
      <c r="R343" s="1" t="s">
        <v>47</v>
      </c>
      <c r="S343" s="1" t="s">
        <v>47</v>
      </c>
      <c r="T343" s="1" t="s">
        <v>48</v>
      </c>
      <c r="U343" s="1" t="s">
        <v>47</v>
      </c>
      <c r="V343" s="1" t="s">
        <v>47</v>
      </c>
      <c r="W343" s="1" t="s">
        <v>47</v>
      </c>
      <c r="Z343" s="1">
        <v>0</v>
      </c>
      <c r="AB343" s="1" t="s">
        <v>47</v>
      </c>
      <c r="AD343" s="1">
        <v>543621</v>
      </c>
      <c r="AF343" s="1" t="s">
        <v>47</v>
      </c>
      <c r="AG343" s="1" t="s">
        <v>47</v>
      </c>
      <c r="AH343" s="1" t="s">
        <v>49</v>
      </c>
      <c r="AI343" s="1" t="s">
        <v>47</v>
      </c>
      <c r="AK343" s="1" t="s">
        <v>48</v>
      </c>
      <c r="AL343" s="1" t="s">
        <v>1176</v>
      </c>
    </row>
    <row r="344" spans="1:38">
      <c r="A344" s="1">
        <v>5137333</v>
      </c>
      <c r="B344" s="1" t="s">
        <v>1177</v>
      </c>
      <c r="C344" s="1" t="str">
        <f>"9781292025094"</f>
        <v>9781292025094</v>
      </c>
      <c r="D344" s="1" t="str">
        <f>"9781292037691"</f>
        <v>9781292037691</v>
      </c>
      <c r="E344" s="1" t="s">
        <v>52</v>
      </c>
      <c r="F344" s="1" t="s">
        <v>40</v>
      </c>
      <c r="G344" s="3">
        <v>41515</v>
      </c>
      <c r="H344" s="3">
        <v>1</v>
      </c>
      <c r="I344" s="1" t="s">
        <v>41</v>
      </c>
      <c r="J344" s="1">
        <v>11</v>
      </c>
      <c r="L344" s="1" t="s">
        <v>1178</v>
      </c>
      <c r="M344" s="1" t="s">
        <v>54</v>
      </c>
      <c r="O344" s="1">
        <v>372.70440000000002</v>
      </c>
      <c r="Q344" s="1" t="s">
        <v>46</v>
      </c>
      <c r="R344" s="1" t="s">
        <v>47</v>
      </c>
      <c r="S344" s="1" t="s">
        <v>47</v>
      </c>
      <c r="T344" s="1" t="s">
        <v>48</v>
      </c>
      <c r="U344" s="1" t="s">
        <v>47</v>
      </c>
      <c r="V344" s="1" t="s">
        <v>47</v>
      </c>
      <c r="W344" s="1" t="s">
        <v>47</v>
      </c>
      <c r="Z344" s="1">
        <v>0</v>
      </c>
      <c r="AB344" s="1" t="s">
        <v>47</v>
      </c>
      <c r="AD344" s="1">
        <v>527195</v>
      </c>
      <c r="AF344" s="1" t="s">
        <v>47</v>
      </c>
      <c r="AG344" s="1" t="s">
        <v>47</v>
      </c>
      <c r="AH344" s="1" t="s">
        <v>49</v>
      </c>
      <c r="AI344" s="1" t="s">
        <v>47</v>
      </c>
      <c r="AK344" s="1" t="s">
        <v>48</v>
      </c>
      <c r="AL344" s="1" t="s">
        <v>1179</v>
      </c>
    </row>
    <row r="345" spans="1:38">
      <c r="A345" s="1">
        <v>5137339</v>
      </c>
      <c r="B345" s="1" t="s">
        <v>1180</v>
      </c>
      <c r="C345" s="1" t="str">
        <f>"9781292040165"</f>
        <v>9781292040165</v>
      </c>
      <c r="D345" s="1" t="str">
        <f>"9781292051970"</f>
        <v>9781292051970</v>
      </c>
      <c r="E345" s="1" t="s">
        <v>52</v>
      </c>
      <c r="F345" s="1" t="s">
        <v>40</v>
      </c>
      <c r="G345" s="3">
        <v>41579</v>
      </c>
      <c r="H345" s="3">
        <v>1</v>
      </c>
      <c r="I345" s="1" t="s">
        <v>41</v>
      </c>
      <c r="J345" s="1">
        <v>8</v>
      </c>
      <c r="L345" s="1" t="s">
        <v>1181</v>
      </c>
      <c r="M345" s="1" t="s">
        <v>242</v>
      </c>
      <c r="O345" s="1">
        <v>513.14</v>
      </c>
      <c r="Q345" s="1" t="s">
        <v>46</v>
      </c>
      <c r="R345" s="1" t="s">
        <v>47</v>
      </c>
      <c r="S345" s="1" t="s">
        <v>47</v>
      </c>
      <c r="T345" s="1" t="s">
        <v>48</v>
      </c>
      <c r="U345" s="1" t="s">
        <v>47</v>
      </c>
      <c r="V345" s="1" t="s">
        <v>47</v>
      </c>
      <c r="W345" s="1" t="s">
        <v>47</v>
      </c>
      <c r="Z345" s="1">
        <v>0</v>
      </c>
      <c r="AB345" s="1" t="s">
        <v>47</v>
      </c>
      <c r="AD345" s="1">
        <v>543588</v>
      </c>
      <c r="AF345" s="1" t="s">
        <v>47</v>
      </c>
      <c r="AG345" s="1" t="s">
        <v>47</v>
      </c>
      <c r="AH345" s="1" t="s">
        <v>49</v>
      </c>
      <c r="AI345" s="1" t="s">
        <v>47</v>
      </c>
      <c r="AK345" s="1" t="s">
        <v>48</v>
      </c>
      <c r="AL345" s="1" t="s">
        <v>1182</v>
      </c>
    </row>
    <row r="346" spans="1:38">
      <c r="A346" s="1">
        <v>5137341</v>
      </c>
      <c r="B346" s="1" t="s">
        <v>1183</v>
      </c>
      <c r="C346" s="1" t="str">
        <f>"9781292022666"</f>
        <v>9781292022666</v>
      </c>
      <c r="D346" s="1" t="str">
        <f>"9781292035864"</f>
        <v>9781292035864</v>
      </c>
      <c r="E346" s="1" t="s">
        <v>52</v>
      </c>
      <c r="F346" s="1" t="s">
        <v>40</v>
      </c>
      <c r="G346" s="3">
        <v>41514</v>
      </c>
      <c r="H346" s="3">
        <v>1</v>
      </c>
      <c r="I346" s="1" t="s">
        <v>41</v>
      </c>
      <c r="J346" s="1">
        <v>7</v>
      </c>
      <c r="L346" s="1" t="s">
        <v>1184</v>
      </c>
      <c r="Q346" s="1" t="s">
        <v>46</v>
      </c>
      <c r="R346" s="1" t="s">
        <v>47</v>
      </c>
      <c r="S346" s="1" t="s">
        <v>47</v>
      </c>
      <c r="T346" s="1" t="s">
        <v>48</v>
      </c>
      <c r="U346" s="1" t="s">
        <v>47</v>
      </c>
      <c r="V346" s="1" t="s">
        <v>47</v>
      </c>
      <c r="W346" s="1" t="s">
        <v>47</v>
      </c>
      <c r="Z346" s="1">
        <v>0</v>
      </c>
      <c r="AB346" s="1" t="s">
        <v>47</v>
      </c>
      <c r="AD346" s="1">
        <v>527191</v>
      </c>
      <c r="AF346" s="1" t="s">
        <v>47</v>
      </c>
      <c r="AG346" s="1" t="s">
        <v>47</v>
      </c>
      <c r="AH346" s="1" t="s">
        <v>49</v>
      </c>
      <c r="AI346" s="1" t="s">
        <v>47</v>
      </c>
      <c r="AK346" s="1" t="s">
        <v>48</v>
      </c>
      <c r="AL346" s="1" t="s">
        <v>1185</v>
      </c>
    </row>
    <row r="347" spans="1:38">
      <c r="A347" s="1">
        <v>5137346</v>
      </c>
      <c r="B347" s="1" t="s">
        <v>1186</v>
      </c>
      <c r="C347" s="1" t="str">
        <f>"9781292027135"</f>
        <v>9781292027135</v>
      </c>
      <c r="D347" s="1" t="str">
        <f>"9781292051994"</f>
        <v>9781292051994</v>
      </c>
      <c r="E347" s="1" t="s">
        <v>52</v>
      </c>
      <c r="F347" s="1" t="s">
        <v>40</v>
      </c>
      <c r="G347" s="3">
        <v>41579</v>
      </c>
      <c r="H347" s="3">
        <v>1</v>
      </c>
      <c r="I347" s="1" t="s">
        <v>41</v>
      </c>
      <c r="J347" s="1">
        <v>6</v>
      </c>
      <c r="L347" s="1" t="s">
        <v>1187</v>
      </c>
      <c r="M347" s="1" t="s">
        <v>59</v>
      </c>
      <c r="O347" s="1">
        <v>658.7</v>
      </c>
      <c r="Q347" s="1" t="s">
        <v>46</v>
      </c>
      <c r="R347" s="1" t="s">
        <v>47</v>
      </c>
      <c r="S347" s="1" t="s">
        <v>47</v>
      </c>
      <c r="T347" s="1" t="s">
        <v>48</v>
      </c>
      <c r="U347" s="1" t="s">
        <v>47</v>
      </c>
      <c r="V347" s="1" t="s">
        <v>47</v>
      </c>
      <c r="W347" s="1" t="s">
        <v>47</v>
      </c>
      <c r="Z347" s="1">
        <v>0</v>
      </c>
      <c r="AB347" s="1" t="s">
        <v>47</v>
      </c>
      <c r="AD347" s="1">
        <v>543431</v>
      </c>
      <c r="AF347" s="1" t="s">
        <v>47</v>
      </c>
      <c r="AG347" s="1" t="s">
        <v>47</v>
      </c>
      <c r="AH347" s="1" t="s">
        <v>49</v>
      </c>
      <c r="AI347" s="1" t="s">
        <v>47</v>
      </c>
      <c r="AK347" s="1" t="s">
        <v>48</v>
      </c>
      <c r="AL347" s="1" t="s">
        <v>1188</v>
      </c>
    </row>
    <row r="348" spans="1:38">
      <c r="A348" s="1">
        <v>5137347</v>
      </c>
      <c r="B348" s="1" t="s">
        <v>1189</v>
      </c>
      <c r="C348" s="1" t="str">
        <f>"9781292025971"</f>
        <v>9781292025971</v>
      </c>
      <c r="D348" s="1" t="str">
        <f>"9781292038391"</f>
        <v>9781292038391</v>
      </c>
      <c r="E348" s="1" t="s">
        <v>52</v>
      </c>
      <c r="F348" s="1" t="s">
        <v>40</v>
      </c>
      <c r="G348" s="3">
        <v>41472</v>
      </c>
      <c r="H348" s="3">
        <v>1</v>
      </c>
      <c r="I348" s="1" t="s">
        <v>41</v>
      </c>
      <c r="J348" s="1">
        <v>5</v>
      </c>
      <c r="L348" s="1" t="s">
        <v>1190</v>
      </c>
      <c r="M348" s="1" t="s">
        <v>1191</v>
      </c>
      <c r="O348" s="1">
        <v>620.00109999999995</v>
      </c>
      <c r="Q348" s="1" t="s">
        <v>46</v>
      </c>
      <c r="R348" s="1" t="s">
        <v>47</v>
      </c>
      <c r="S348" s="1" t="s">
        <v>47</v>
      </c>
      <c r="T348" s="1" t="s">
        <v>48</v>
      </c>
      <c r="U348" s="1" t="s">
        <v>47</v>
      </c>
      <c r="V348" s="1" t="s">
        <v>47</v>
      </c>
      <c r="W348" s="1" t="s">
        <v>47</v>
      </c>
      <c r="Z348" s="1">
        <v>0</v>
      </c>
      <c r="AB348" s="1" t="s">
        <v>47</v>
      </c>
      <c r="AD348" s="1">
        <v>527299</v>
      </c>
      <c r="AF348" s="1" t="s">
        <v>47</v>
      </c>
      <c r="AG348" s="1" t="s">
        <v>47</v>
      </c>
      <c r="AH348" s="1" t="s">
        <v>49</v>
      </c>
      <c r="AI348" s="1" t="s">
        <v>47</v>
      </c>
      <c r="AK348" s="1" t="s">
        <v>48</v>
      </c>
      <c r="AL348" s="1" t="s">
        <v>1192</v>
      </c>
    </row>
    <row r="349" spans="1:38">
      <c r="A349" s="1">
        <v>5137361</v>
      </c>
      <c r="B349" s="1" t="s">
        <v>1193</v>
      </c>
      <c r="C349" s="1" t="str">
        <f>"9781292022390"</f>
        <v>9781292022390</v>
      </c>
      <c r="D349" s="1" t="str">
        <f>"9781292035598"</f>
        <v>9781292035598</v>
      </c>
      <c r="E349" s="1" t="s">
        <v>52</v>
      </c>
      <c r="F349" s="1" t="s">
        <v>40</v>
      </c>
      <c r="G349" s="3">
        <v>41485</v>
      </c>
      <c r="H349" s="3">
        <v>1</v>
      </c>
      <c r="I349" s="1" t="s">
        <v>41</v>
      </c>
      <c r="J349" s="1">
        <v>5</v>
      </c>
      <c r="L349" s="1" t="s">
        <v>1194</v>
      </c>
      <c r="M349" s="1" t="s">
        <v>242</v>
      </c>
      <c r="O349" s="1">
        <v>510</v>
      </c>
      <c r="Q349" s="1" t="s">
        <v>46</v>
      </c>
      <c r="R349" s="1" t="s">
        <v>47</v>
      </c>
      <c r="S349" s="1" t="s">
        <v>47</v>
      </c>
      <c r="T349" s="1" t="s">
        <v>48</v>
      </c>
      <c r="U349" s="1" t="s">
        <v>47</v>
      </c>
      <c r="V349" s="1" t="s">
        <v>47</v>
      </c>
      <c r="W349" s="1" t="s">
        <v>47</v>
      </c>
      <c r="Z349" s="1">
        <v>0</v>
      </c>
      <c r="AB349" s="1" t="s">
        <v>47</v>
      </c>
      <c r="AD349" s="1">
        <v>527028</v>
      </c>
      <c r="AF349" s="1" t="s">
        <v>47</v>
      </c>
      <c r="AG349" s="1" t="s">
        <v>47</v>
      </c>
      <c r="AH349" s="1" t="s">
        <v>49</v>
      </c>
      <c r="AI349" s="1" t="s">
        <v>47</v>
      </c>
      <c r="AK349" s="1" t="s">
        <v>48</v>
      </c>
      <c r="AL349" s="1" t="s">
        <v>1195</v>
      </c>
    </row>
    <row r="350" spans="1:38">
      <c r="A350" s="1">
        <v>5137362</v>
      </c>
      <c r="B350" s="1" t="s">
        <v>495</v>
      </c>
      <c r="C350" s="1" t="str">
        <f>"9781292022437"</f>
        <v>9781292022437</v>
      </c>
      <c r="D350" s="1" t="str">
        <f>"9781292035635"</f>
        <v>9781292035635</v>
      </c>
      <c r="E350" s="1" t="s">
        <v>52</v>
      </c>
      <c r="F350" s="1" t="s">
        <v>40</v>
      </c>
      <c r="G350" s="3">
        <v>41509</v>
      </c>
      <c r="H350" s="3">
        <v>1</v>
      </c>
      <c r="I350" s="1" t="s">
        <v>41</v>
      </c>
      <c r="J350" s="1">
        <v>5</v>
      </c>
      <c r="L350" s="1" t="s">
        <v>1194</v>
      </c>
      <c r="M350" s="1" t="s">
        <v>242</v>
      </c>
      <c r="O350" s="1">
        <v>510</v>
      </c>
      <c r="Q350" s="1" t="s">
        <v>46</v>
      </c>
      <c r="R350" s="1" t="s">
        <v>47</v>
      </c>
      <c r="S350" s="1" t="s">
        <v>47</v>
      </c>
      <c r="T350" s="1" t="s">
        <v>48</v>
      </c>
      <c r="U350" s="1" t="s">
        <v>47</v>
      </c>
      <c r="V350" s="1" t="s">
        <v>47</v>
      </c>
      <c r="W350" s="1" t="s">
        <v>47</v>
      </c>
      <c r="Z350" s="1">
        <v>0</v>
      </c>
      <c r="AB350" s="1" t="s">
        <v>47</v>
      </c>
      <c r="AD350" s="1">
        <v>527043</v>
      </c>
      <c r="AF350" s="1" t="s">
        <v>47</v>
      </c>
      <c r="AG350" s="1" t="s">
        <v>47</v>
      </c>
      <c r="AH350" s="1" t="s">
        <v>49</v>
      </c>
      <c r="AI350" s="1" t="s">
        <v>47</v>
      </c>
      <c r="AK350" s="1" t="s">
        <v>48</v>
      </c>
      <c r="AL350" s="1" t="s">
        <v>1196</v>
      </c>
    </row>
    <row r="351" spans="1:38">
      <c r="A351" s="1">
        <v>5137363</v>
      </c>
      <c r="B351" s="1" t="s">
        <v>1143</v>
      </c>
      <c r="C351" s="1" t="str">
        <f>"9781292022543"</f>
        <v>9781292022543</v>
      </c>
      <c r="D351" s="1" t="str">
        <f>"9781292035741"</f>
        <v>9781292035741</v>
      </c>
      <c r="E351" s="1" t="s">
        <v>52</v>
      </c>
      <c r="F351" s="1" t="s">
        <v>40</v>
      </c>
      <c r="G351" s="3">
        <v>41484</v>
      </c>
      <c r="H351" s="3">
        <v>1</v>
      </c>
      <c r="I351" s="1" t="s">
        <v>41</v>
      </c>
      <c r="J351" s="1">
        <v>5</v>
      </c>
      <c r="L351" s="1" t="s">
        <v>1197</v>
      </c>
      <c r="M351" s="1" t="s">
        <v>242</v>
      </c>
      <c r="O351" s="1">
        <v>512.13</v>
      </c>
      <c r="Q351" s="1" t="s">
        <v>46</v>
      </c>
      <c r="R351" s="1" t="s">
        <v>47</v>
      </c>
      <c r="S351" s="1" t="s">
        <v>47</v>
      </c>
      <c r="T351" s="1" t="s">
        <v>48</v>
      </c>
      <c r="U351" s="1" t="s">
        <v>47</v>
      </c>
      <c r="V351" s="1" t="s">
        <v>47</v>
      </c>
      <c r="W351" s="1" t="s">
        <v>47</v>
      </c>
      <c r="Z351" s="1">
        <v>0</v>
      </c>
      <c r="AB351" s="1" t="s">
        <v>47</v>
      </c>
      <c r="AD351" s="1">
        <v>527009</v>
      </c>
      <c r="AF351" s="1" t="s">
        <v>47</v>
      </c>
      <c r="AG351" s="1" t="s">
        <v>47</v>
      </c>
      <c r="AH351" s="1" t="s">
        <v>49</v>
      </c>
      <c r="AI351" s="1" t="s">
        <v>47</v>
      </c>
      <c r="AK351" s="1" t="s">
        <v>48</v>
      </c>
      <c r="AL351" s="1" t="s">
        <v>1198</v>
      </c>
    </row>
    <row r="352" spans="1:38">
      <c r="A352" s="1">
        <v>5137364</v>
      </c>
      <c r="B352" s="1" t="s">
        <v>1199</v>
      </c>
      <c r="C352" s="1" t="str">
        <f>"9781292023915"</f>
        <v>9781292023915</v>
      </c>
      <c r="D352" s="1" t="str">
        <f>"9781292037028"</f>
        <v>9781292037028</v>
      </c>
      <c r="E352" s="1" t="s">
        <v>52</v>
      </c>
      <c r="F352" s="1" t="s">
        <v>40</v>
      </c>
      <c r="G352" s="3">
        <v>41515</v>
      </c>
      <c r="H352" s="3">
        <v>1</v>
      </c>
      <c r="I352" s="1" t="s">
        <v>41</v>
      </c>
      <c r="J352" s="1">
        <v>5</v>
      </c>
      <c r="L352" s="1" t="s">
        <v>1197</v>
      </c>
      <c r="Q352" s="1" t="s">
        <v>46</v>
      </c>
      <c r="R352" s="1" t="s">
        <v>47</v>
      </c>
      <c r="S352" s="1" t="s">
        <v>47</v>
      </c>
      <c r="T352" s="1" t="s">
        <v>48</v>
      </c>
      <c r="U352" s="1" t="s">
        <v>47</v>
      </c>
      <c r="V352" s="1" t="s">
        <v>47</v>
      </c>
      <c r="W352" s="1" t="s">
        <v>47</v>
      </c>
      <c r="Z352" s="1">
        <v>0</v>
      </c>
      <c r="AB352" s="1" t="s">
        <v>47</v>
      </c>
      <c r="AD352" s="1">
        <v>527293</v>
      </c>
      <c r="AF352" s="1" t="s">
        <v>47</v>
      </c>
      <c r="AG352" s="1" t="s">
        <v>47</v>
      </c>
      <c r="AH352" s="1" t="s">
        <v>49</v>
      </c>
      <c r="AI352" s="1" t="s">
        <v>47</v>
      </c>
      <c r="AK352" s="1" t="s">
        <v>48</v>
      </c>
      <c r="AL352" s="1" t="s">
        <v>1200</v>
      </c>
    </row>
    <row r="353" spans="1:38">
      <c r="A353" s="1">
        <v>5137365</v>
      </c>
      <c r="B353" s="1" t="s">
        <v>1066</v>
      </c>
      <c r="C353" s="1" t="str">
        <f>"9781292039923"</f>
        <v>9781292039923</v>
      </c>
      <c r="D353" s="1" t="str">
        <f>"9781292052038"</f>
        <v>9781292052038</v>
      </c>
      <c r="E353" s="1" t="s">
        <v>52</v>
      </c>
      <c r="F353" s="1" t="s">
        <v>40</v>
      </c>
      <c r="G353" s="3">
        <v>41579</v>
      </c>
      <c r="H353" s="3">
        <v>1</v>
      </c>
      <c r="I353" s="1" t="s">
        <v>41</v>
      </c>
      <c r="J353" s="1">
        <v>6</v>
      </c>
      <c r="L353" s="1" t="s">
        <v>1197</v>
      </c>
      <c r="M353" s="1" t="s">
        <v>242</v>
      </c>
      <c r="O353" s="1">
        <v>512</v>
      </c>
      <c r="Q353" s="1" t="s">
        <v>46</v>
      </c>
      <c r="R353" s="1" t="s">
        <v>47</v>
      </c>
      <c r="S353" s="1" t="s">
        <v>47</v>
      </c>
      <c r="T353" s="1" t="s">
        <v>48</v>
      </c>
      <c r="U353" s="1" t="s">
        <v>47</v>
      </c>
      <c r="V353" s="1" t="s">
        <v>47</v>
      </c>
      <c r="W353" s="1" t="s">
        <v>47</v>
      </c>
      <c r="Z353" s="1">
        <v>0</v>
      </c>
      <c r="AB353" s="1" t="s">
        <v>47</v>
      </c>
      <c r="AD353" s="1">
        <v>543465</v>
      </c>
      <c r="AF353" s="1" t="s">
        <v>47</v>
      </c>
      <c r="AG353" s="1" t="s">
        <v>47</v>
      </c>
      <c r="AH353" s="1" t="s">
        <v>49</v>
      </c>
      <c r="AI353" s="1" t="s">
        <v>47</v>
      </c>
      <c r="AK353" s="1" t="s">
        <v>48</v>
      </c>
      <c r="AL353" s="1" t="s">
        <v>1201</v>
      </c>
    </row>
    <row r="354" spans="1:38">
      <c r="A354" s="1">
        <v>5137367</v>
      </c>
      <c r="B354" s="1" t="s">
        <v>1202</v>
      </c>
      <c r="C354" s="1" t="str">
        <f>"9781292041957"</f>
        <v>9781292041957</v>
      </c>
      <c r="D354" s="1" t="str">
        <f>"9781292052045"</f>
        <v>9781292052045</v>
      </c>
      <c r="E354" s="1" t="s">
        <v>52</v>
      </c>
      <c r="F354" s="1" t="s">
        <v>40</v>
      </c>
      <c r="G354" s="3">
        <v>41579</v>
      </c>
      <c r="H354" s="3">
        <v>1</v>
      </c>
      <c r="I354" s="1" t="s">
        <v>41</v>
      </c>
      <c r="J354" s="1">
        <v>6</v>
      </c>
      <c r="L354" s="1" t="s">
        <v>1203</v>
      </c>
      <c r="M354" s="1" t="s">
        <v>372</v>
      </c>
      <c r="O354" s="1">
        <v>361.0068</v>
      </c>
      <c r="Q354" s="1" t="s">
        <v>46</v>
      </c>
      <c r="R354" s="1" t="s">
        <v>47</v>
      </c>
      <c r="S354" s="1" t="s">
        <v>47</v>
      </c>
      <c r="T354" s="1" t="s">
        <v>48</v>
      </c>
      <c r="U354" s="1" t="s">
        <v>47</v>
      </c>
      <c r="V354" s="1" t="s">
        <v>47</v>
      </c>
      <c r="W354" s="1" t="s">
        <v>47</v>
      </c>
      <c r="Z354" s="1">
        <v>0</v>
      </c>
      <c r="AB354" s="1" t="s">
        <v>47</v>
      </c>
      <c r="AD354" s="1">
        <v>543576</v>
      </c>
      <c r="AF354" s="1" t="s">
        <v>47</v>
      </c>
      <c r="AG354" s="1" t="s">
        <v>47</v>
      </c>
      <c r="AH354" s="1" t="s">
        <v>49</v>
      </c>
      <c r="AI354" s="1" t="s">
        <v>47</v>
      </c>
      <c r="AK354" s="1" t="s">
        <v>48</v>
      </c>
      <c r="AL354" s="1" t="s">
        <v>1204</v>
      </c>
    </row>
    <row r="355" spans="1:38">
      <c r="A355" s="1">
        <v>5137374</v>
      </c>
      <c r="B355" s="1" t="s">
        <v>1205</v>
      </c>
      <c r="C355" s="1" t="str">
        <f>"9781292022864"</f>
        <v>9781292022864</v>
      </c>
      <c r="D355" s="1" t="str">
        <f>"9781292036052"</f>
        <v>9781292036052</v>
      </c>
      <c r="E355" s="1" t="s">
        <v>52</v>
      </c>
      <c r="F355" s="1" t="s">
        <v>40</v>
      </c>
      <c r="G355" s="3">
        <v>41472</v>
      </c>
      <c r="H355" s="3">
        <v>1</v>
      </c>
      <c r="I355" s="1" t="s">
        <v>41</v>
      </c>
      <c r="J355" s="1">
        <v>7</v>
      </c>
      <c r="L355" s="1" t="s">
        <v>1206</v>
      </c>
      <c r="M355" s="1" t="s">
        <v>468</v>
      </c>
      <c r="O355" s="1">
        <v>174.4</v>
      </c>
      <c r="Q355" s="1" t="s">
        <v>46</v>
      </c>
      <c r="R355" s="1" t="s">
        <v>47</v>
      </c>
      <c r="S355" s="1" t="s">
        <v>47</v>
      </c>
      <c r="T355" s="1" t="s">
        <v>48</v>
      </c>
      <c r="U355" s="1" t="s">
        <v>47</v>
      </c>
      <c r="V355" s="1" t="s">
        <v>47</v>
      </c>
      <c r="W355" s="1" t="s">
        <v>47</v>
      </c>
      <c r="Z355" s="1">
        <v>0</v>
      </c>
      <c r="AB355" s="1" t="s">
        <v>47</v>
      </c>
      <c r="AD355" s="1">
        <v>527128</v>
      </c>
      <c r="AF355" s="1" t="s">
        <v>47</v>
      </c>
      <c r="AG355" s="1" t="s">
        <v>47</v>
      </c>
      <c r="AH355" s="1" t="s">
        <v>49</v>
      </c>
      <c r="AI355" s="1" t="s">
        <v>47</v>
      </c>
      <c r="AK355" s="1" t="s">
        <v>48</v>
      </c>
      <c r="AL355" s="1" t="s">
        <v>1207</v>
      </c>
    </row>
    <row r="356" spans="1:38">
      <c r="A356" s="1">
        <v>5137381</v>
      </c>
      <c r="B356" s="1" t="s">
        <v>1208</v>
      </c>
      <c r="C356" s="1" t="str">
        <f>"9781292021287"</f>
        <v>9781292021287</v>
      </c>
      <c r="D356" s="1" t="str">
        <f>"9781292034515"</f>
        <v>9781292034515</v>
      </c>
      <c r="E356" s="1" t="s">
        <v>52</v>
      </c>
      <c r="F356" s="1" t="s">
        <v>40</v>
      </c>
      <c r="G356" s="3">
        <v>41469</v>
      </c>
      <c r="H356" s="3">
        <v>1</v>
      </c>
      <c r="I356" s="1" t="s">
        <v>41</v>
      </c>
      <c r="J356" s="1">
        <v>5</v>
      </c>
      <c r="L356" s="1" t="s">
        <v>1209</v>
      </c>
      <c r="M356" s="1" t="s">
        <v>1210</v>
      </c>
      <c r="O356" s="1">
        <v>552.5</v>
      </c>
      <c r="Q356" s="1" t="s">
        <v>46</v>
      </c>
      <c r="R356" s="1" t="s">
        <v>47</v>
      </c>
      <c r="S356" s="1" t="s">
        <v>47</v>
      </c>
      <c r="T356" s="1" t="s">
        <v>48</v>
      </c>
      <c r="U356" s="1" t="s">
        <v>47</v>
      </c>
      <c r="V356" s="1" t="s">
        <v>47</v>
      </c>
      <c r="W356" s="1" t="s">
        <v>47</v>
      </c>
      <c r="Z356" s="1">
        <v>0</v>
      </c>
      <c r="AB356" s="1" t="s">
        <v>47</v>
      </c>
      <c r="AD356" s="1">
        <v>526975</v>
      </c>
      <c r="AF356" s="1" t="s">
        <v>47</v>
      </c>
      <c r="AG356" s="1" t="s">
        <v>47</v>
      </c>
      <c r="AH356" s="1" t="s">
        <v>49</v>
      </c>
      <c r="AI356" s="1" t="s">
        <v>47</v>
      </c>
      <c r="AK356" s="1" t="s">
        <v>48</v>
      </c>
      <c r="AL356" s="1" t="s">
        <v>1211</v>
      </c>
    </row>
    <row r="357" spans="1:38">
      <c r="A357" s="1">
        <v>5137387</v>
      </c>
      <c r="B357" s="1" t="s">
        <v>1212</v>
      </c>
      <c r="C357" s="1" t="str">
        <f>"9781292004518"</f>
        <v>9781292004518</v>
      </c>
      <c r="D357" s="1" t="str">
        <f>"9781292004570"</f>
        <v>9781292004570</v>
      </c>
      <c r="E357" s="1" t="s">
        <v>52</v>
      </c>
      <c r="F357" s="1" t="s">
        <v>40</v>
      </c>
      <c r="G357" s="3">
        <v>41529</v>
      </c>
      <c r="H357" s="3">
        <v>1</v>
      </c>
      <c r="I357" s="1" t="s">
        <v>41</v>
      </c>
      <c r="J357" s="1">
        <v>3</v>
      </c>
      <c r="L357" s="1" t="s">
        <v>1213</v>
      </c>
      <c r="M357" s="1" t="s">
        <v>100</v>
      </c>
      <c r="N357" s="1" t="s">
        <v>1214</v>
      </c>
      <c r="O357" s="1">
        <v>153.69</v>
      </c>
      <c r="P357" s="1" t="s">
        <v>1215</v>
      </c>
      <c r="Q357" s="1" t="s">
        <v>46</v>
      </c>
      <c r="R357" s="1" t="s">
        <v>47</v>
      </c>
      <c r="S357" s="1" t="s">
        <v>47</v>
      </c>
      <c r="T357" s="1" t="s">
        <v>48</v>
      </c>
      <c r="U357" s="1" t="s">
        <v>47</v>
      </c>
      <c r="V357" s="1" t="s">
        <v>47</v>
      </c>
      <c r="W357" s="1" t="s">
        <v>47</v>
      </c>
      <c r="Z357" s="1">
        <v>0</v>
      </c>
      <c r="AB357" s="1" t="s">
        <v>47</v>
      </c>
      <c r="AD357" s="1">
        <v>515965</v>
      </c>
      <c r="AF357" s="1" t="s">
        <v>47</v>
      </c>
      <c r="AG357" s="1" t="s">
        <v>47</v>
      </c>
      <c r="AH357" s="1" t="s">
        <v>49</v>
      </c>
      <c r="AI357" s="1" t="s">
        <v>47</v>
      </c>
      <c r="AK357" s="1" t="s">
        <v>48</v>
      </c>
      <c r="AL357" s="1" t="s">
        <v>1216</v>
      </c>
    </row>
    <row r="358" spans="1:38">
      <c r="A358" s="1">
        <v>5137395</v>
      </c>
      <c r="B358" s="1" t="s">
        <v>1217</v>
      </c>
      <c r="C358" s="1" t="str">
        <f>"9781292021263"</f>
        <v>9781292021263</v>
      </c>
      <c r="D358" s="1" t="str">
        <f>"9781292034492"</f>
        <v>9781292034492</v>
      </c>
      <c r="E358" s="1" t="s">
        <v>52</v>
      </c>
      <c r="F358" s="1" t="s">
        <v>40</v>
      </c>
      <c r="G358" s="3">
        <v>41478</v>
      </c>
      <c r="H358" s="3">
        <v>1</v>
      </c>
      <c r="I358" s="1" t="s">
        <v>41</v>
      </c>
      <c r="J358" s="1">
        <v>5</v>
      </c>
      <c r="L358" s="1" t="s">
        <v>1218</v>
      </c>
      <c r="M358" s="1" t="s">
        <v>54</v>
      </c>
      <c r="O358" s="1">
        <v>372.87043999999997</v>
      </c>
      <c r="Q358" s="1" t="s">
        <v>46</v>
      </c>
      <c r="R358" s="1" t="s">
        <v>47</v>
      </c>
      <c r="S358" s="1" t="s">
        <v>47</v>
      </c>
      <c r="T358" s="1" t="s">
        <v>48</v>
      </c>
      <c r="U358" s="1" t="s">
        <v>47</v>
      </c>
      <c r="V358" s="1" t="s">
        <v>47</v>
      </c>
      <c r="W358" s="1" t="s">
        <v>47</v>
      </c>
      <c r="Z358" s="1">
        <v>0</v>
      </c>
      <c r="AB358" s="1" t="s">
        <v>47</v>
      </c>
      <c r="AD358" s="1">
        <v>526984</v>
      </c>
      <c r="AF358" s="1" t="s">
        <v>47</v>
      </c>
      <c r="AG358" s="1" t="s">
        <v>47</v>
      </c>
      <c r="AH358" s="1" t="s">
        <v>49</v>
      </c>
      <c r="AI358" s="1" t="s">
        <v>47</v>
      </c>
      <c r="AK358" s="1" t="s">
        <v>48</v>
      </c>
      <c r="AL358" s="1" t="s">
        <v>1219</v>
      </c>
    </row>
    <row r="359" spans="1:38">
      <c r="A359" s="1">
        <v>5137397</v>
      </c>
      <c r="B359" s="1" t="s">
        <v>1220</v>
      </c>
      <c r="C359" s="1" t="str">
        <f>"9781292041582"</f>
        <v>9781292041582</v>
      </c>
      <c r="D359" s="1" t="str">
        <f>"9781292052076"</f>
        <v>9781292052076</v>
      </c>
      <c r="E359" s="1" t="s">
        <v>52</v>
      </c>
      <c r="F359" s="1" t="s">
        <v>40</v>
      </c>
      <c r="G359" s="3">
        <v>41579</v>
      </c>
      <c r="H359" s="3">
        <v>1</v>
      </c>
      <c r="I359" s="1" t="s">
        <v>41</v>
      </c>
      <c r="J359" s="1">
        <v>2</v>
      </c>
      <c r="L359" s="1" t="s">
        <v>1221</v>
      </c>
      <c r="M359" s="1" t="s">
        <v>372</v>
      </c>
      <c r="O359" s="1">
        <v>361.32</v>
      </c>
      <c r="Q359" s="1" t="s">
        <v>46</v>
      </c>
      <c r="R359" s="1" t="s">
        <v>47</v>
      </c>
      <c r="S359" s="1" t="s">
        <v>47</v>
      </c>
      <c r="T359" s="1" t="s">
        <v>48</v>
      </c>
      <c r="U359" s="1" t="s">
        <v>47</v>
      </c>
      <c r="V359" s="1" t="s">
        <v>47</v>
      </c>
      <c r="W359" s="1" t="s">
        <v>47</v>
      </c>
      <c r="Z359" s="1">
        <v>0</v>
      </c>
      <c r="AB359" s="1" t="s">
        <v>47</v>
      </c>
      <c r="AD359" s="1">
        <v>543594</v>
      </c>
      <c r="AF359" s="1" t="s">
        <v>47</v>
      </c>
      <c r="AG359" s="1" t="s">
        <v>47</v>
      </c>
      <c r="AH359" s="1" t="s">
        <v>49</v>
      </c>
      <c r="AI359" s="1" t="s">
        <v>47</v>
      </c>
      <c r="AK359" s="1" t="s">
        <v>48</v>
      </c>
      <c r="AL359" s="1" t="s">
        <v>1222</v>
      </c>
    </row>
    <row r="360" spans="1:38">
      <c r="A360" s="1">
        <v>5137402</v>
      </c>
      <c r="B360" s="1" t="s">
        <v>1223</v>
      </c>
      <c r="C360" s="1" t="str">
        <f>"9781292020792"</f>
        <v>9781292020792</v>
      </c>
      <c r="D360" s="1" t="str">
        <f>"9781292034041"</f>
        <v>9781292034041</v>
      </c>
      <c r="E360" s="1" t="s">
        <v>52</v>
      </c>
      <c r="F360" s="1" t="s">
        <v>40</v>
      </c>
      <c r="G360" s="3">
        <v>41484</v>
      </c>
      <c r="H360" s="3">
        <v>1</v>
      </c>
      <c r="I360" s="1" t="s">
        <v>41</v>
      </c>
      <c r="J360" s="1">
        <v>14</v>
      </c>
      <c r="L360" s="1" t="s">
        <v>1224</v>
      </c>
      <c r="M360" s="1" t="s">
        <v>1225</v>
      </c>
      <c r="O360" s="1">
        <v>631.4</v>
      </c>
      <c r="Q360" s="1" t="s">
        <v>46</v>
      </c>
      <c r="R360" s="1" t="s">
        <v>47</v>
      </c>
      <c r="S360" s="1" t="s">
        <v>47</v>
      </c>
      <c r="T360" s="1" t="s">
        <v>48</v>
      </c>
      <c r="U360" s="1" t="s">
        <v>47</v>
      </c>
      <c r="V360" s="1" t="s">
        <v>47</v>
      </c>
      <c r="W360" s="1" t="s">
        <v>47</v>
      </c>
      <c r="Z360" s="1">
        <v>0</v>
      </c>
      <c r="AB360" s="1" t="s">
        <v>47</v>
      </c>
      <c r="AD360" s="1">
        <v>526953</v>
      </c>
      <c r="AF360" s="1" t="s">
        <v>47</v>
      </c>
      <c r="AG360" s="1" t="s">
        <v>47</v>
      </c>
      <c r="AH360" s="1" t="s">
        <v>49</v>
      </c>
      <c r="AI360" s="1" t="s">
        <v>47</v>
      </c>
      <c r="AK360" s="1" t="s">
        <v>48</v>
      </c>
      <c r="AL360" s="1" t="s">
        <v>1226</v>
      </c>
    </row>
    <row r="361" spans="1:38">
      <c r="A361" s="1">
        <v>5137403</v>
      </c>
      <c r="B361" s="1" t="s">
        <v>1227</v>
      </c>
      <c r="C361" s="1" t="str">
        <f>"9781292039299"</f>
        <v>9781292039299</v>
      </c>
      <c r="D361" s="1" t="str">
        <f>"9781292052083"</f>
        <v>9781292052083</v>
      </c>
      <c r="E361" s="1" t="s">
        <v>52</v>
      </c>
      <c r="F361" s="1" t="s">
        <v>40</v>
      </c>
      <c r="G361" s="3">
        <v>41579</v>
      </c>
      <c r="H361" s="3">
        <v>1</v>
      </c>
      <c r="I361" s="1" t="s">
        <v>41</v>
      </c>
      <c r="J361" s="1">
        <v>3</v>
      </c>
      <c r="L361" s="1" t="s">
        <v>1228</v>
      </c>
      <c r="M361" s="1" t="s">
        <v>1225</v>
      </c>
      <c r="O361" s="1">
        <v>631.4</v>
      </c>
      <c r="Q361" s="1" t="s">
        <v>46</v>
      </c>
      <c r="R361" s="1" t="s">
        <v>47</v>
      </c>
      <c r="S361" s="1" t="s">
        <v>47</v>
      </c>
      <c r="T361" s="1" t="s">
        <v>48</v>
      </c>
      <c r="U361" s="1" t="s">
        <v>47</v>
      </c>
      <c r="V361" s="1" t="s">
        <v>47</v>
      </c>
      <c r="W361" s="1" t="s">
        <v>47</v>
      </c>
      <c r="Z361" s="1">
        <v>0</v>
      </c>
      <c r="AB361" s="1" t="s">
        <v>47</v>
      </c>
      <c r="AD361" s="1">
        <v>543390</v>
      </c>
      <c r="AF361" s="1" t="s">
        <v>47</v>
      </c>
      <c r="AG361" s="1" t="s">
        <v>47</v>
      </c>
      <c r="AH361" s="1" t="s">
        <v>49</v>
      </c>
      <c r="AI361" s="1" t="s">
        <v>47</v>
      </c>
      <c r="AK361" s="1" t="s">
        <v>48</v>
      </c>
      <c r="AL361" s="1" t="s">
        <v>1229</v>
      </c>
    </row>
    <row r="362" spans="1:38">
      <c r="A362" s="1">
        <v>5137404</v>
      </c>
      <c r="B362" s="1" t="s">
        <v>1230</v>
      </c>
      <c r="C362" s="1" t="str">
        <f>"9781292042060"</f>
        <v>9781292042060</v>
      </c>
      <c r="D362" s="1" t="str">
        <f>"9781292052090"</f>
        <v>9781292052090</v>
      </c>
      <c r="E362" s="1" t="s">
        <v>52</v>
      </c>
      <c r="F362" s="1" t="s">
        <v>40</v>
      </c>
      <c r="G362" s="3">
        <v>41579</v>
      </c>
      <c r="H362" s="3">
        <v>1</v>
      </c>
      <c r="I362" s="1" t="s">
        <v>41</v>
      </c>
      <c r="J362" s="1">
        <v>4</v>
      </c>
      <c r="L362" s="1" t="s">
        <v>1231</v>
      </c>
      <c r="M362" s="1" t="s">
        <v>242</v>
      </c>
      <c r="O362" s="1">
        <v>510.71199999999999</v>
      </c>
      <c r="Q362" s="1" t="s">
        <v>46</v>
      </c>
      <c r="R362" s="1" t="s">
        <v>47</v>
      </c>
      <c r="S362" s="1" t="s">
        <v>47</v>
      </c>
      <c r="T362" s="1" t="s">
        <v>48</v>
      </c>
      <c r="U362" s="1" t="s">
        <v>47</v>
      </c>
      <c r="V362" s="1" t="s">
        <v>47</v>
      </c>
      <c r="W362" s="1" t="s">
        <v>47</v>
      </c>
      <c r="Z362" s="1">
        <v>0</v>
      </c>
      <c r="AB362" s="1" t="s">
        <v>47</v>
      </c>
      <c r="AD362" s="1">
        <v>543650</v>
      </c>
      <c r="AF362" s="1" t="s">
        <v>47</v>
      </c>
      <c r="AG362" s="1" t="s">
        <v>47</v>
      </c>
      <c r="AH362" s="1" t="s">
        <v>49</v>
      </c>
      <c r="AI362" s="1" t="s">
        <v>47</v>
      </c>
      <c r="AK362" s="1" t="s">
        <v>48</v>
      </c>
      <c r="AL362" s="1" t="s">
        <v>1232</v>
      </c>
    </row>
    <row r="363" spans="1:38">
      <c r="A363" s="1">
        <v>5137409</v>
      </c>
      <c r="B363" s="1" t="s">
        <v>1233</v>
      </c>
      <c r="C363" s="1" t="str">
        <f>""</f>
        <v/>
      </c>
      <c r="D363" s="1" t="str">
        <f>"9780273775782"</f>
        <v>9780273775782</v>
      </c>
      <c r="E363" s="1" t="s">
        <v>52</v>
      </c>
      <c r="F363" s="1" t="s">
        <v>365</v>
      </c>
      <c r="G363" s="3">
        <v>41353</v>
      </c>
      <c r="H363" s="3">
        <v>1</v>
      </c>
      <c r="I363" s="1" t="s">
        <v>41</v>
      </c>
      <c r="J363" s="1">
        <v>11</v>
      </c>
      <c r="L363" s="1" t="s">
        <v>1234</v>
      </c>
      <c r="Q363" s="1" t="s">
        <v>46</v>
      </c>
      <c r="R363" s="1" t="s">
        <v>47</v>
      </c>
      <c r="S363" s="1" t="s">
        <v>47</v>
      </c>
      <c r="T363" s="1" t="s">
        <v>48</v>
      </c>
      <c r="U363" s="1" t="s">
        <v>47</v>
      </c>
      <c r="V363" s="1" t="s">
        <v>47</v>
      </c>
      <c r="W363" s="1" t="s">
        <v>47</v>
      </c>
      <c r="Z363" s="1">
        <v>0</v>
      </c>
      <c r="AB363" s="1" t="s">
        <v>47</v>
      </c>
      <c r="AD363" s="1">
        <v>469807</v>
      </c>
      <c r="AF363" s="1" t="s">
        <v>47</v>
      </c>
      <c r="AG363" s="1" t="s">
        <v>47</v>
      </c>
      <c r="AH363" s="1" t="s">
        <v>49</v>
      </c>
      <c r="AI363" s="1" t="s">
        <v>47</v>
      </c>
      <c r="AK363" s="1" t="s">
        <v>48</v>
      </c>
      <c r="AL363" s="1" t="s">
        <v>1235</v>
      </c>
    </row>
    <row r="364" spans="1:38">
      <c r="A364" s="1">
        <v>5137411</v>
      </c>
      <c r="B364" s="1" t="s">
        <v>697</v>
      </c>
      <c r="C364" s="1" t="str">
        <f>"9781292022147"</f>
        <v>9781292022147</v>
      </c>
      <c r="D364" s="1" t="str">
        <f>"9781292035345"</f>
        <v>9781292035345</v>
      </c>
      <c r="E364" s="1" t="s">
        <v>52</v>
      </c>
      <c r="F364" s="1" t="s">
        <v>40</v>
      </c>
      <c r="G364" s="3">
        <v>41478</v>
      </c>
      <c r="H364" s="3">
        <v>1</v>
      </c>
      <c r="I364" s="1" t="s">
        <v>41</v>
      </c>
      <c r="J364" s="1">
        <v>5</v>
      </c>
      <c r="L364" s="1" t="s">
        <v>1236</v>
      </c>
      <c r="M364" s="1" t="s">
        <v>242</v>
      </c>
      <c r="O364" s="1">
        <v>512.5</v>
      </c>
      <c r="Q364" s="1" t="s">
        <v>46</v>
      </c>
      <c r="R364" s="1" t="s">
        <v>47</v>
      </c>
      <c r="S364" s="1" t="s">
        <v>47</v>
      </c>
      <c r="T364" s="1" t="s">
        <v>48</v>
      </c>
      <c r="U364" s="1" t="s">
        <v>47</v>
      </c>
      <c r="V364" s="1" t="s">
        <v>47</v>
      </c>
      <c r="W364" s="1" t="s">
        <v>47</v>
      </c>
      <c r="Z364" s="1">
        <v>0</v>
      </c>
      <c r="AB364" s="1" t="s">
        <v>47</v>
      </c>
      <c r="AD364" s="1">
        <v>527175</v>
      </c>
      <c r="AF364" s="1" t="s">
        <v>47</v>
      </c>
      <c r="AG364" s="1" t="s">
        <v>47</v>
      </c>
      <c r="AH364" s="1" t="s">
        <v>49</v>
      </c>
      <c r="AI364" s="1" t="s">
        <v>47</v>
      </c>
      <c r="AK364" s="1" t="s">
        <v>48</v>
      </c>
      <c r="AL364" s="1" t="s">
        <v>1237</v>
      </c>
    </row>
    <row r="365" spans="1:38">
      <c r="A365" s="1">
        <v>5137412</v>
      </c>
      <c r="B365" s="1" t="s">
        <v>1238</v>
      </c>
      <c r="C365" s="1" t="str">
        <f>"9781292042015"</f>
        <v>9781292042015</v>
      </c>
      <c r="D365" s="1" t="str">
        <f>"9781292052113"</f>
        <v>9781292052113</v>
      </c>
      <c r="E365" s="1" t="s">
        <v>52</v>
      </c>
      <c r="F365" s="1" t="s">
        <v>40</v>
      </c>
      <c r="G365" s="3">
        <v>41579</v>
      </c>
      <c r="H365" s="3">
        <v>1</v>
      </c>
      <c r="I365" s="1" t="s">
        <v>41</v>
      </c>
      <c r="J365" s="1">
        <v>6</v>
      </c>
      <c r="L365" s="1" t="s">
        <v>1239</v>
      </c>
      <c r="M365" s="1" t="s">
        <v>54</v>
      </c>
      <c r="O365" s="1">
        <v>372.21</v>
      </c>
      <c r="Q365" s="1" t="s">
        <v>46</v>
      </c>
      <c r="R365" s="1" t="s">
        <v>47</v>
      </c>
      <c r="S365" s="1" t="s">
        <v>47</v>
      </c>
      <c r="T365" s="1" t="s">
        <v>48</v>
      </c>
      <c r="U365" s="1" t="s">
        <v>47</v>
      </c>
      <c r="V365" s="1" t="s">
        <v>47</v>
      </c>
      <c r="W365" s="1" t="s">
        <v>47</v>
      </c>
      <c r="Z365" s="1">
        <v>0</v>
      </c>
      <c r="AB365" s="1" t="s">
        <v>47</v>
      </c>
      <c r="AD365" s="1">
        <v>543606</v>
      </c>
      <c r="AF365" s="1" t="s">
        <v>47</v>
      </c>
      <c r="AG365" s="1" t="s">
        <v>47</v>
      </c>
      <c r="AH365" s="1" t="s">
        <v>49</v>
      </c>
      <c r="AI365" s="1" t="s">
        <v>47</v>
      </c>
      <c r="AK365" s="1" t="s">
        <v>48</v>
      </c>
      <c r="AL365" s="1" t="s">
        <v>1240</v>
      </c>
    </row>
    <row r="366" spans="1:38">
      <c r="A366" s="1">
        <v>5137417</v>
      </c>
      <c r="B366" s="1" t="s">
        <v>1241</v>
      </c>
      <c r="C366" s="1" t="str">
        <f>"9781292024806"</f>
        <v>9781292024806</v>
      </c>
      <c r="D366" s="1" t="str">
        <f>"9781292037479"</f>
        <v>9781292037479</v>
      </c>
      <c r="E366" s="1" t="s">
        <v>52</v>
      </c>
      <c r="F366" s="1" t="s">
        <v>40</v>
      </c>
      <c r="G366" s="3">
        <v>41515</v>
      </c>
      <c r="H366" s="3">
        <v>1</v>
      </c>
      <c r="I366" s="1" t="s">
        <v>41</v>
      </c>
      <c r="J366" s="1">
        <v>1</v>
      </c>
      <c r="L366" s="1" t="s">
        <v>1242</v>
      </c>
      <c r="Q366" s="1" t="s">
        <v>46</v>
      </c>
      <c r="R366" s="1" t="s">
        <v>47</v>
      </c>
      <c r="S366" s="1" t="s">
        <v>47</v>
      </c>
      <c r="T366" s="1" t="s">
        <v>48</v>
      </c>
      <c r="U366" s="1" t="s">
        <v>47</v>
      </c>
      <c r="V366" s="1" t="s">
        <v>47</v>
      </c>
      <c r="W366" s="1" t="s">
        <v>47</v>
      </c>
      <c r="Z366" s="1">
        <v>0</v>
      </c>
      <c r="AB366" s="1" t="s">
        <v>47</v>
      </c>
      <c r="AD366" s="1">
        <v>527340</v>
      </c>
      <c r="AF366" s="1" t="s">
        <v>47</v>
      </c>
      <c r="AG366" s="1" t="s">
        <v>47</v>
      </c>
      <c r="AH366" s="1" t="s">
        <v>49</v>
      </c>
      <c r="AI366" s="1" t="s">
        <v>47</v>
      </c>
      <c r="AK366" s="1" t="s">
        <v>48</v>
      </c>
      <c r="AL366" s="1" t="s">
        <v>1243</v>
      </c>
    </row>
    <row r="367" spans="1:38">
      <c r="A367" s="1">
        <v>5137419</v>
      </c>
      <c r="B367" s="1" t="s">
        <v>1244</v>
      </c>
      <c r="C367" s="1" t="str">
        <f>"9781292021898"</f>
        <v>9781292021898</v>
      </c>
      <c r="D367" s="1" t="str">
        <f>"9781292035109"</f>
        <v>9781292035109</v>
      </c>
      <c r="E367" s="1" t="s">
        <v>52</v>
      </c>
      <c r="F367" s="1" t="s">
        <v>40</v>
      </c>
      <c r="G367" s="3">
        <v>41513</v>
      </c>
      <c r="H367" s="3">
        <v>1</v>
      </c>
      <c r="I367" s="1" t="s">
        <v>41</v>
      </c>
      <c r="J367" s="1">
        <v>11</v>
      </c>
      <c r="L367" s="1" t="s">
        <v>1245</v>
      </c>
      <c r="Q367" s="1" t="s">
        <v>46</v>
      </c>
      <c r="R367" s="1" t="s">
        <v>47</v>
      </c>
      <c r="S367" s="1" t="s">
        <v>47</v>
      </c>
      <c r="T367" s="1" t="s">
        <v>48</v>
      </c>
      <c r="U367" s="1" t="s">
        <v>47</v>
      </c>
      <c r="V367" s="1" t="s">
        <v>47</v>
      </c>
      <c r="W367" s="1" t="s">
        <v>47</v>
      </c>
      <c r="Z367" s="1">
        <v>0</v>
      </c>
      <c r="AB367" s="1" t="s">
        <v>47</v>
      </c>
      <c r="AD367" s="1">
        <v>527154</v>
      </c>
      <c r="AF367" s="1" t="s">
        <v>47</v>
      </c>
      <c r="AG367" s="1" t="s">
        <v>47</v>
      </c>
      <c r="AH367" s="1" t="s">
        <v>49</v>
      </c>
      <c r="AI367" s="1" t="s">
        <v>47</v>
      </c>
      <c r="AK367" s="1" t="s">
        <v>48</v>
      </c>
      <c r="AL367" s="1" t="s">
        <v>1246</v>
      </c>
    </row>
    <row r="368" spans="1:38">
      <c r="A368" s="1">
        <v>5137420</v>
      </c>
      <c r="B368" s="1" t="s">
        <v>1247</v>
      </c>
      <c r="C368" s="1" t="str">
        <f>"9780273719304"</f>
        <v>9780273719304</v>
      </c>
      <c r="D368" s="1" t="str">
        <f>"9781405899840"</f>
        <v>9781405899840</v>
      </c>
      <c r="E368" s="1" t="s">
        <v>52</v>
      </c>
      <c r="F368" s="1" t="s">
        <v>67</v>
      </c>
      <c r="G368" s="3">
        <v>40100</v>
      </c>
      <c r="H368" s="3">
        <v>1</v>
      </c>
      <c r="I368" s="1" t="s">
        <v>41</v>
      </c>
      <c r="J368" s="1">
        <v>5</v>
      </c>
      <c r="L368" s="1" t="s">
        <v>1248</v>
      </c>
      <c r="M368" s="1" t="s">
        <v>59</v>
      </c>
      <c r="N368" s="1" t="s">
        <v>1249</v>
      </c>
      <c r="O368" s="1">
        <v>657</v>
      </c>
      <c r="Q368" s="1" t="s">
        <v>46</v>
      </c>
      <c r="R368" s="1" t="s">
        <v>47</v>
      </c>
      <c r="S368" s="1" t="s">
        <v>47</v>
      </c>
      <c r="T368" s="1" t="s">
        <v>48</v>
      </c>
      <c r="U368" s="1" t="s">
        <v>47</v>
      </c>
      <c r="V368" s="1" t="s">
        <v>47</v>
      </c>
      <c r="W368" s="1" t="s">
        <v>47</v>
      </c>
      <c r="Z368" s="1">
        <v>0</v>
      </c>
      <c r="AB368" s="1" t="s">
        <v>47</v>
      </c>
      <c r="AD368" s="1">
        <v>253032</v>
      </c>
      <c r="AF368" s="1" t="s">
        <v>47</v>
      </c>
      <c r="AG368" s="1" t="s">
        <v>47</v>
      </c>
      <c r="AH368" s="1" t="s">
        <v>49</v>
      </c>
      <c r="AI368" s="1" t="s">
        <v>47</v>
      </c>
      <c r="AK368" s="1" t="s">
        <v>48</v>
      </c>
      <c r="AL368" s="1" t="s">
        <v>1250</v>
      </c>
    </row>
    <row r="369" spans="1:38">
      <c r="A369" s="1">
        <v>5137421</v>
      </c>
      <c r="B369" s="1" t="s">
        <v>1251</v>
      </c>
      <c r="C369" s="1" t="str">
        <f>"9781292025155"</f>
        <v>9781292025155</v>
      </c>
      <c r="D369" s="1" t="str">
        <f>"9781292037745"</f>
        <v>9781292037745</v>
      </c>
      <c r="E369" s="1" t="s">
        <v>52</v>
      </c>
      <c r="F369" s="1" t="s">
        <v>40</v>
      </c>
      <c r="G369" s="3">
        <v>41472</v>
      </c>
      <c r="H369" s="3">
        <v>1</v>
      </c>
      <c r="I369" s="1" t="s">
        <v>41</v>
      </c>
      <c r="J369" s="1">
        <v>10</v>
      </c>
      <c r="L369" s="1" t="s">
        <v>1252</v>
      </c>
      <c r="M369" s="1" t="s">
        <v>1156</v>
      </c>
      <c r="O369" s="1">
        <v>792.09</v>
      </c>
      <c r="Q369" s="1" t="s">
        <v>46</v>
      </c>
      <c r="R369" s="1" t="s">
        <v>47</v>
      </c>
      <c r="S369" s="1" t="s">
        <v>47</v>
      </c>
      <c r="T369" s="1" t="s">
        <v>48</v>
      </c>
      <c r="U369" s="1" t="s">
        <v>47</v>
      </c>
      <c r="V369" s="1" t="s">
        <v>47</v>
      </c>
      <c r="W369" s="1" t="s">
        <v>47</v>
      </c>
      <c r="Z369" s="1">
        <v>0</v>
      </c>
      <c r="AB369" s="1" t="s">
        <v>47</v>
      </c>
      <c r="AD369" s="1">
        <v>527414</v>
      </c>
      <c r="AF369" s="1" t="s">
        <v>47</v>
      </c>
      <c r="AG369" s="1" t="s">
        <v>47</v>
      </c>
      <c r="AH369" s="1" t="s">
        <v>49</v>
      </c>
      <c r="AI369" s="1" t="s">
        <v>47</v>
      </c>
      <c r="AK369" s="1" t="s">
        <v>48</v>
      </c>
      <c r="AL369" s="1" t="s">
        <v>1253</v>
      </c>
    </row>
    <row r="370" spans="1:38">
      <c r="A370" s="1">
        <v>5137422</v>
      </c>
      <c r="B370" s="1" t="s">
        <v>1254</v>
      </c>
      <c r="C370" s="1" t="str">
        <f>"9781292024790"</f>
        <v>9781292024790</v>
      </c>
      <c r="D370" s="1" t="str">
        <f>"9781292037462"</f>
        <v>9781292037462</v>
      </c>
      <c r="E370" s="1" t="s">
        <v>52</v>
      </c>
      <c r="F370" s="1" t="s">
        <v>40</v>
      </c>
      <c r="G370" s="3">
        <v>41478</v>
      </c>
      <c r="H370" s="3">
        <v>1</v>
      </c>
      <c r="I370" s="1" t="s">
        <v>41</v>
      </c>
      <c r="J370" s="1">
        <v>3</v>
      </c>
      <c r="L370" s="1" t="s">
        <v>1255</v>
      </c>
      <c r="M370" s="1" t="s">
        <v>100</v>
      </c>
      <c r="O370" s="1">
        <v>155</v>
      </c>
      <c r="Q370" s="1" t="s">
        <v>46</v>
      </c>
      <c r="R370" s="1" t="s">
        <v>47</v>
      </c>
      <c r="S370" s="1" t="s">
        <v>47</v>
      </c>
      <c r="T370" s="1" t="s">
        <v>48</v>
      </c>
      <c r="U370" s="1" t="s">
        <v>47</v>
      </c>
      <c r="V370" s="1" t="s">
        <v>47</v>
      </c>
      <c r="W370" s="1" t="s">
        <v>47</v>
      </c>
      <c r="Z370" s="1">
        <v>0</v>
      </c>
      <c r="AB370" s="1" t="s">
        <v>47</v>
      </c>
      <c r="AD370" s="1">
        <v>527112</v>
      </c>
      <c r="AF370" s="1" t="s">
        <v>47</v>
      </c>
      <c r="AG370" s="1" t="s">
        <v>47</v>
      </c>
      <c r="AH370" s="1" t="s">
        <v>49</v>
      </c>
      <c r="AI370" s="1" t="s">
        <v>47</v>
      </c>
      <c r="AK370" s="1" t="s">
        <v>48</v>
      </c>
      <c r="AL370" s="1" t="s">
        <v>1256</v>
      </c>
    </row>
    <row r="371" spans="1:38">
      <c r="A371" s="1">
        <v>5137423</v>
      </c>
      <c r="B371" s="1" t="s">
        <v>1257</v>
      </c>
      <c r="C371" s="1" t="str">
        <f>"9781292041025"</f>
        <v>9781292041025</v>
      </c>
      <c r="D371" s="1" t="str">
        <f>"9781292054643"</f>
        <v>9781292054643</v>
      </c>
      <c r="E371" s="1" t="s">
        <v>52</v>
      </c>
      <c r="F371" s="1" t="s">
        <v>40</v>
      </c>
      <c r="G371" s="3">
        <v>41579</v>
      </c>
      <c r="H371" s="3">
        <v>1</v>
      </c>
      <c r="I371" s="1" t="s">
        <v>41</v>
      </c>
      <c r="J371" s="1">
        <v>6</v>
      </c>
      <c r="L371" s="1" t="s">
        <v>1258</v>
      </c>
      <c r="M371" s="1" t="s">
        <v>54</v>
      </c>
      <c r="O371" s="1">
        <v>371.26</v>
      </c>
      <c r="Q371" s="1" t="s">
        <v>46</v>
      </c>
      <c r="R371" s="1" t="s">
        <v>47</v>
      </c>
      <c r="S371" s="1" t="s">
        <v>47</v>
      </c>
      <c r="T371" s="1" t="s">
        <v>48</v>
      </c>
      <c r="U371" s="1" t="s">
        <v>47</v>
      </c>
      <c r="V371" s="1" t="s">
        <v>47</v>
      </c>
      <c r="W371" s="1" t="s">
        <v>47</v>
      </c>
      <c r="Z371" s="1">
        <v>0</v>
      </c>
      <c r="AB371" s="1" t="s">
        <v>47</v>
      </c>
      <c r="AD371" s="1">
        <v>543346</v>
      </c>
      <c r="AF371" s="1" t="s">
        <v>47</v>
      </c>
      <c r="AG371" s="1" t="s">
        <v>47</v>
      </c>
      <c r="AH371" s="1" t="s">
        <v>49</v>
      </c>
      <c r="AI371" s="1" t="s">
        <v>47</v>
      </c>
      <c r="AK371" s="1" t="s">
        <v>48</v>
      </c>
      <c r="AL371" s="1" t="s">
        <v>1259</v>
      </c>
    </row>
    <row r="372" spans="1:38">
      <c r="A372" s="1">
        <v>5137429</v>
      </c>
      <c r="B372" s="1" t="s">
        <v>1260</v>
      </c>
      <c r="C372" s="1" t="str">
        <f>"9781292023465"</f>
        <v>9781292023465</v>
      </c>
      <c r="D372" s="1" t="str">
        <f>"9781292036632"</f>
        <v>9781292036632</v>
      </c>
      <c r="E372" s="1" t="s">
        <v>52</v>
      </c>
      <c r="F372" s="1" t="s">
        <v>40</v>
      </c>
      <c r="G372" s="3">
        <v>41478</v>
      </c>
      <c r="H372" s="3">
        <v>1</v>
      </c>
      <c r="I372" s="1" t="s">
        <v>41</v>
      </c>
      <c r="J372" s="1">
        <v>7</v>
      </c>
      <c r="L372" s="1" t="s">
        <v>1261</v>
      </c>
      <c r="M372" s="1" t="s">
        <v>59</v>
      </c>
      <c r="O372" s="1">
        <v>658.40380000000005</v>
      </c>
      <c r="Q372" s="1" t="s">
        <v>46</v>
      </c>
      <c r="R372" s="1" t="s">
        <v>47</v>
      </c>
      <c r="S372" s="1" t="s">
        <v>47</v>
      </c>
      <c r="T372" s="1" t="s">
        <v>48</v>
      </c>
      <c r="U372" s="1" t="s">
        <v>47</v>
      </c>
      <c r="V372" s="1" t="s">
        <v>47</v>
      </c>
      <c r="W372" s="1" t="s">
        <v>47</v>
      </c>
      <c r="Z372" s="1">
        <v>0</v>
      </c>
      <c r="AB372" s="1" t="s">
        <v>47</v>
      </c>
      <c r="AD372" s="1">
        <v>527234</v>
      </c>
      <c r="AF372" s="1" t="s">
        <v>47</v>
      </c>
      <c r="AG372" s="1" t="s">
        <v>47</v>
      </c>
      <c r="AH372" s="1" t="s">
        <v>49</v>
      </c>
      <c r="AI372" s="1" t="s">
        <v>47</v>
      </c>
      <c r="AK372" s="1" t="s">
        <v>48</v>
      </c>
      <c r="AL372" s="1" t="s">
        <v>1262</v>
      </c>
    </row>
    <row r="373" spans="1:38">
      <c r="A373" s="1">
        <v>5137432</v>
      </c>
      <c r="B373" s="1" t="s">
        <v>1263</v>
      </c>
      <c r="C373" s="1" t="str">
        <f>"9781292042879"</f>
        <v>9781292042879</v>
      </c>
      <c r="D373" s="1" t="str">
        <f>"9781292052144"</f>
        <v>9781292052144</v>
      </c>
      <c r="E373" s="1" t="s">
        <v>52</v>
      </c>
      <c r="F373" s="1" t="s">
        <v>40</v>
      </c>
      <c r="G373" s="3">
        <v>41579</v>
      </c>
      <c r="H373" s="3">
        <v>1</v>
      </c>
      <c r="I373" s="1" t="s">
        <v>41</v>
      </c>
      <c r="J373" s="1">
        <v>10</v>
      </c>
      <c r="L373" s="1" t="s">
        <v>1264</v>
      </c>
      <c r="M373" s="1" t="s">
        <v>59</v>
      </c>
      <c r="O373" s="1">
        <v>658.31240000000003</v>
      </c>
      <c r="Q373" s="1" t="s">
        <v>46</v>
      </c>
      <c r="R373" s="1" t="s">
        <v>47</v>
      </c>
      <c r="S373" s="1" t="s">
        <v>47</v>
      </c>
      <c r="T373" s="1" t="s">
        <v>48</v>
      </c>
      <c r="U373" s="1" t="s">
        <v>47</v>
      </c>
      <c r="V373" s="1" t="s">
        <v>47</v>
      </c>
      <c r="W373" s="1" t="s">
        <v>47</v>
      </c>
      <c r="Z373" s="1">
        <v>0</v>
      </c>
      <c r="AB373" s="1" t="s">
        <v>47</v>
      </c>
      <c r="AD373" s="1">
        <v>543518</v>
      </c>
      <c r="AF373" s="1" t="s">
        <v>47</v>
      </c>
      <c r="AG373" s="1" t="s">
        <v>47</v>
      </c>
      <c r="AH373" s="1" t="s">
        <v>49</v>
      </c>
      <c r="AI373" s="1" t="s">
        <v>47</v>
      </c>
      <c r="AK373" s="1" t="s">
        <v>48</v>
      </c>
      <c r="AL373" s="1" t="s">
        <v>1265</v>
      </c>
    </row>
    <row r="374" spans="1:38">
      <c r="A374" s="1">
        <v>5137434</v>
      </c>
      <c r="B374" s="1" t="s">
        <v>1266</v>
      </c>
      <c r="C374" s="1" t="str">
        <f>"9781292040431"</f>
        <v>9781292040431</v>
      </c>
      <c r="D374" s="1" t="str">
        <f>"9781292052151"</f>
        <v>9781292052151</v>
      </c>
      <c r="E374" s="1" t="s">
        <v>52</v>
      </c>
      <c r="F374" s="1" t="s">
        <v>40</v>
      </c>
      <c r="G374" s="3">
        <v>41550</v>
      </c>
      <c r="H374" s="3">
        <v>1</v>
      </c>
      <c r="I374" s="1" t="s">
        <v>41</v>
      </c>
      <c r="J374" s="1">
        <v>12</v>
      </c>
      <c r="L374" s="1" t="s">
        <v>1267</v>
      </c>
      <c r="Q374" s="1" t="s">
        <v>46</v>
      </c>
      <c r="R374" s="1" t="s">
        <v>47</v>
      </c>
      <c r="S374" s="1" t="s">
        <v>47</v>
      </c>
      <c r="T374" s="1" t="s">
        <v>48</v>
      </c>
      <c r="U374" s="1" t="s">
        <v>47</v>
      </c>
      <c r="V374" s="1" t="s">
        <v>47</v>
      </c>
      <c r="W374" s="1" t="s">
        <v>47</v>
      </c>
      <c r="Z374" s="1">
        <v>0</v>
      </c>
      <c r="AB374" s="1" t="s">
        <v>47</v>
      </c>
      <c r="AD374" s="1">
        <v>543485</v>
      </c>
      <c r="AF374" s="1" t="s">
        <v>47</v>
      </c>
      <c r="AG374" s="1" t="s">
        <v>47</v>
      </c>
      <c r="AH374" s="1" t="s">
        <v>49</v>
      </c>
      <c r="AI374" s="1" t="s">
        <v>47</v>
      </c>
      <c r="AK374" s="1" t="s">
        <v>48</v>
      </c>
      <c r="AL374" s="1" t="s">
        <v>1268</v>
      </c>
    </row>
    <row r="375" spans="1:38">
      <c r="A375" s="1">
        <v>5137440</v>
      </c>
      <c r="B375" s="1" t="s">
        <v>1269</v>
      </c>
      <c r="C375" s="1" t="str">
        <f>"9781292041575"</f>
        <v>9781292041575</v>
      </c>
      <c r="D375" s="1" t="str">
        <f>"9781292052175"</f>
        <v>9781292052175</v>
      </c>
      <c r="E375" s="1" t="s">
        <v>52</v>
      </c>
      <c r="F375" s="1" t="s">
        <v>40</v>
      </c>
      <c r="G375" s="3">
        <v>41550</v>
      </c>
      <c r="H375" s="3">
        <v>1</v>
      </c>
      <c r="I375" s="1" t="s">
        <v>41</v>
      </c>
      <c r="J375" s="1">
        <v>7</v>
      </c>
      <c r="L375" s="1" t="s">
        <v>421</v>
      </c>
      <c r="Q375" s="1" t="s">
        <v>46</v>
      </c>
      <c r="R375" s="1" t="s">
        <v>47</v>
      </c>
      <c r="S375" s="1" t="s">
        <v>47</v>
      </c>
      <c r="T375" s="1" t="s">
        <v>48</v>
      </c>
      <c r="U375" s="1" t="s">
        <v>47</v>
      </c>
      <c r="V375" s="1" t="s">
        <v>47</v>
      </c>
      <c r="W375" s="1" t="s">
        <v>47</v>
      </c>
      <c r="Z375" s="1">
        <v>0</v>
      </c>
      <c r="AB375" s="1" t="s">
        <v>47</v>
      </c>
      <c r="AD375" s="1">
        <v>543581</v>
      </c>
      <c r="AF375" s="1" t="s">
        <v>47</v>
      </c>
      <c r="AG375" s="1" t="s">
        <v>47</v>
      </c>
      <c r="AH375" s="1" t="s">
        <v>49</v>
      </c>
      <c r="AI375" s="1" t="s">
        <v>47</v>
      </c>
      <c r="AK375" s="1" t="s">
        <v>48</v>
      </c>
      <c r="AL375" s="1" t="s">
        <v>1270</v>
      </c>
    </row>
    <row r="376" spans="1:38">
      <c r="A376" s="1">
        <v>5137443</v>
      </c>
      <c r="B376" s="1" t="s">
        <v>1271</v>
      </c>
      <c r="C376" s="1" t="str">
        <f>"9781292025841"</f>
        <v>9781292025841</v>
      </c>
      <c r="D376" s="1" t="str">
        <f>"9781292038261"</f>
        <v>9781292038261</v>
      </c>
      <c r="E376" s="1" t="s">
        <v>52</v>
      </c>
      <c r="F376" s="1" t="s">
        <v>40</v>
      </c>
      <c r="G376" s="3">
        <v>41515</v>
      </c>
      <c r="H376" s="3">
        <v>1</v>
      </c>
      <c r="I376" s="1" t="s">
        <v>41</v>
      </c>
      <c r="J376" s="1">
        <v>2</v>
      </c>
      <c r="L376" s="1" t="s">
        <v>1272</v>
      </c>
      <c r="Q376" s="1" t="s">
        <v>46</v>
      </c>
      <c r="R376" s="1" t="s">
        <v>47</v>
      </c>
      <c r="S376" s="1" t="s">
        <v>47</v>
      </c>
      <c r="T376" s="1" t="s">
        <v>48</v>
      </c>
      <c r="U376" s="1" t="s">
        <v>47</v>
      </c>
      <c r="V376" s="1" t="s">
        <v>47</v>
      </c>
      <c r="W376" s="1" t="s">
        <v>47</v>
      </c>
      <c r="Z376" s="1">
        <v>0</v>
      </c>
      <c r="AB376" s="1" t="s">
        <v>47</v>
      </c>
      <c r="AD376" s="1">
        <v>527356</v>
      </c>
      <c r="AF376" s="1" t="s">
        <v>47</v>
      </c>
      <c r="AG376" s="1" t="s">
        <v>47</v>
      </c>
      <c r="AH376" s="1" t="s">
        <v>49</v>
      </c>
      <c r="AI376" s="1" t="s">
        <v>47</v>
      </c>
      <c r="AK376" s="1" t="s">
        <v>48</v>
      </c>
      <c r="AL376" s="1" t="s">
        <v>1273</v>
      </c>
    </row>
    <row r="377" spans="1:38">
      <c r="A377" s="1">
        <v>5137446</v>
      </c>
      <c r="B377" s="1" t="s">
        <v>1274</v>
      </c>
      <c r="C377" s="1" t="str">
        <f>"9780273735113"</f>
        <v>9780273735113</v>
      </c>
      <c r="D377" s="1" t="str">
        <f>"9780273735632"</f>
        <v>9780273735632</v>
      </c>
      <c r="E377" s="1" t="s">
        <v>52</v>
      </c>
      <c r="F377" s="1" t="s">
        <v>67</v>
      </c>
      <c r="G377" s="3">
        <v>40582</v>
      </c>
      <c r="H377" s="3">
        <v>1</v>
      </c>
      <c r="I377" s="1" t="s">
        <v>41</v>
      </c>
      <c r="J377" s="1">
        <v>1</v>
      </c>
      <c r="L377" s="1" t="s">
        <v>1275</v>
      </c>
      <c r="M377" s="1" t="s">
        <v>256</v>
      </c>
      <c r="N377" s="1" t="s">
        <v>1276</v>
      </c>
      <c r="O377" s="1">
        <v>330.90951100000001</v>
      </c>
      <c r="P377" s="1" t="s">
        <v>1277</v>
      </c>
      <c r="Q377" s="1" t="s">
        <v>46</v>
      </c>
      <c r="R377" s="1" t="s">
        <v>47</v>
      </c>
      <c r="S377" s="1" t="s">
        <v>47</v>
      </c>
      <c r="T377" s="1" t="s">
        <v>48</v>
      </c>
      <c r="U377" s="1" t="s">
        <v>47</v>
      </c>
      <c r="V377" s="1" t="s">
        <v>47</v>
      </c>
      <c r="W377" s="1" t="s">
        <v>47</v>
      </c>
      <c r="Z377" s="1">
        <v>0</v>
      </c>
      <c r="AB377" s="1" t="s">
        <v>47</v>
      </c>
      <c r="AD377" s="1">
        <v>311484</v>
      </c>
      <c r="AF377" s="1" t="s">
        <v>47</v>
      </c>
      <c r="AG377" s="1" t="s">
        <v>47</v>
      </c>
      <c r="AH377" s="1" t="s">
        <v>49</v>
      </c>
      <c r="AI377" s="1" t="s">
        <v>47</v>
      </c>
      <c r="AK377" s="1" t="s">
        <v>48</v>
      </c>
      <c r="AL377" s="1" t="s">
        <v>1278</v>
      </c>
    </row>
    <row r="378" spans="1:38">
      <c r="A378" s="1">
        <v>5137470</v>
      </c>
      <c r="B378" s="1" t="s">
        <v>1279</v>
      </c>
      <c r="C378" s="1" t="str">
        <f>"9781292041193"</f>
        <v>9781292041193</v>
      </c>
      <c r="D378" s="1" t="str">
        <f>"9781292052229"</f>
        <v>9781292052229</v>
      </c>
      <c r="E378" s="1" t="s">
        <v>52</v>
      </c>
      <c r="F378" s="1" t="s">
        <v>40</v>
      </c>
      <c r="G378" s="3">
        <v>41579</v>
      </c>
      <c r="H378" s="3">
        <v>1</v>
      </c>
      <c r="I378" s="1" t="s">
        <v>41</v>
      </c>
      <c r="J378" s="1">
        <v>5</v>
      </c>
      <c r="L378" s="1" t="s">
        <v>1280</v>
      </c>
      <c r="M378" s="1" t="s">
        <v>372</v>
      </c>
      <c r="O378" s="1">
        <v>303.60000000000002</v>
      </c>
      <c r="Q378" s="1" t="s">
        <v>46</v>
      </c>
      <c r="R378" s="1" t="s">
        <v>47</v>
      </c>
      <c r="S378" s="1" t="s">
        <v>47</v>
      </c>
      <c r="T378" s="1" t="s">
        <v>48</v>
      </c>
      <c r="U378" s="1" t="s">
        <v>47</v>
      </c>
      <c r="V378" s="1" t="s">
        <v>47</v>
      </c>
      <c r="W378" s="1" t="s">
        <v>47</v>
      </c>
      <c r="Z378" s="1">
        <v>0</v>
      </c>
      <c r="AB378" s="1" t="s">
        <v>47</v>
      </c>
      <c r="AD378" s="1">
        <v>543622</v>
      </c>
      <c r="AF378" s="1" t="s">
        <v>47</v>
      </c>
      <c r="AG378" s="1" t="s">
        <v>47</v>
      </c>
      <c r="AH378" s="1" t="s">
        <v>49</v>
      </c>
      <c r="AI378" s="1" t="s">
        <v>47</v>
      </c>
      <c r="AK378" s="1" t="s">
        <v>48</v>
      </c>
      <c r="AL378" s="1" t="s">
        <v>1281</v>
      </c>
    </row>
    <row r="379" spans="1:38">
      <c r="A379" s="1">
        <v>5137472</v>
      </c>
      <c r="B379" s="1" t="s">
        <v>1282</v>
      </c>
      <c r="C379" s="1" t="str">
        <f>"9781292041810"</f>
        <v>9781292041810</v>
      </c>
      <c r="D379" s="1" t="str">
        <f>"9781292054360"</f>
        <v>9781292054360</v>
      </c>
      <c r="E379" s="1" t="s">
        <v>52</v>
      </c>
      <c r="F379" s="1" t="s">
        <v>40</v>
      </c>
      <c r="G379" s="3">
        <v>41579</v>
      </c>
      <c r="H379" s="3">
        <v>1</v>
      </c>
      <c r="I379" s="1" t="s">
        <v>41</v>
      </c>
      <c r="J379" s="1">
        <v>7</v>
      </c>
      <c r="L379" s="1" t="s">
        <v>1283</v>
      </c>
      <c r="M379" s="1" t="s">
        <v>162</v>
      </c>
      <c r="O379" s="1">
        <v>344.73079300000001</v>
      </c>
      <c r="Q379" s="1" t="s">
        <v>46</v>
      </c>
      <c r="R379" s="1" t="s">
        <v>47</v>
      </c>
      <c r="S379" s="1" t="s">
        <v>47</v>
      </c>
      <c r="T379" s="1" t="s">
        <v>48</v>
      </c>
      <c r="U379" s="1" t="s">
        <v>47</v>
      </c>
      <c r="V379" s="1" t="s">
        <v>47</v>
      </c>
      <c r="W379" s="1" t="s">
        <v>47</v>
      </c>
      <c r="Z379" s="1">
        <v>0</v>
      </c>
      <c r="AB379" s="1" t="s">
        <v>47</v>
      </c>
      <c r="AD379" s="1">
        <v>543342</v>
      </c>
      <c r="AF379" s="1" t="s">
        <v>47</v>
      </c>
      <c r="AG379" s="1" t="s">
        <v>47</v>
      </c>
      <c r="AH379" s="1" t="s">
        <v>49</v>
      </c>
      <c r="AI379" s="1" t="s">
        <v>47</v>
      </c>
      <c r="AK379" s="1" t="s">
        <v>48</v>
      </c>
      <c r="AL379" s="1" t="s">
        <v>1284</v>
      </c>
    </row>
    <row r="380" spans="1:38">
      <c r="A380" s="1">
        <v>5137480</v>
      </c>
      <c r="B380" s="1" t="s">
        <v>968</v>
      </c>
      <c r="C380" s="1" t="str">
        <f>"9781292040394"</f>
        <v>9781292040394</v>
      </c>
      <c r="D380" s="1" t="str">
        <f>"9781292052236"</f>
        <v>9781292052236</v>
      </c>
      <c r="E380" s="1" t="s">
        <v>52</v>
      </c>
      <c r="F380" s="1" t="s">
        <v>40</v>
      </c>
      <c r="G380" s="3">
        <v>41579</v>
      </c>
      <c r="H380" s="3">
        <v>1</v>
      </c>
      <c r="I380" s="1" t="s">
        <v>41</v>
      </c>
      <c r="J380" s="1">
        <v>10</v>
      </c>
      <c r="L380" s="1" t="s">
        <v>1285</v>
      </c>
      <c r="M380" s="1" t="s">
        <v>690</v>
      </c>
      <c r="O380" s="1">
        <v>579.07799999999997</v>
      </c>
      <c r="Q380" s="1" t="s">
        <v>46</v>
      </c>
      <c r="R380" s="1" t="s">
        <v>47</v>
      </c>
      <c r="S380" s="1" t="s">
        <v>47</v>
      </c>
      <c r="T380" s="1" t="s">
        <v>48</v>
      </c>
      <c r="U380" s="1" t="s">
        <v>47</v>
      </c>
      <c r="V380" s="1" t="s">
        <v>47</v>
      </c>
      <c r="W380" s="1" t="s">
        <v>47</v>
      </c>
      <c r="Z380" s="1">
        <v>0</v>
      </c>
      <c r="AB380" s="1" t="s">
        <v>47</v>
      </c>
      <c r="AD380" s="1">
        <v>543433</v>
      </c>
      <c r="AF380" s="1" t="s">
        <v>47</v>
      </c>
      <c r="AG380" s="1" t="s">
        <v>47</v>
      </c>
      <c r="AH380" s="1" t="s">
        <v>49</v>
      </c>
      <c r="AI380" s="1" t="s">
        <v>47</v>
      </c>
      <c r="AK380" s="1" t="s">
        <v>48</v>
      </c>
      <c r="AL380" s="1" t="s">
        <v>1286</v>
      </c>
    </row>
    <row r="381" spans="1:38">
      <c r="A381" s="1">
        <v>5137481</v>
      </c>
      <c r="B381" s="1" t="s">
        <v>1287</v>
      </c>
      <c r="C381" s="1" t="str">
        <f>"9781292041940"</f>
        <v>9781292041940</v>
      </c>
      <c r="D381" s="1" t="str">
        <f>"9781292052243"</f>
        <v>9781292052243</v>
      </c>
      <c r="E381" s="1" t="s">
        <v>52</v>
      </c>
      <c r="F381" s="1" t="s">
        <v>40</v>
      </c>
      <c r="G381" s="3">
        <v>41579</v>
      </c>
      <c r="H381" s="3">
        <v>1</v>
      </c>
      <c r="I381" s="1" t="s">
        <v>41</v>
      </c>
      <c r="J381" s="1">
        <v>2</v>
      </c>
      <c r="L381" s="1" t="s">
        <v>1288</v>
      </c>
      <c r="M381" s="1" t="s">
        <v>482</v>
      </c>
      <c r="O381" s="1">
        <v>616.86065099999996</v>
      </c>
      <c r="Q381" s="1" t="s">
        <v>46</v>
      </c>
      <c r="R381" s="1" t="s">
        <v>47</v>
      </c>
      <c r="S381" s="1" t="s">
        <v>47</v>
      </c>
      <c r="T381" s="1" t="s">
        <v>48</v>
      </c>
      <c r="U381" s="1" t="s">
        <v>47</v>
      </c>
      <c r="V381" s="1" t="s">
        <v>47</v>
      </c>
      <c r="W381" s="1" t="s">
        <v>47</v>
      </c>
      <c r="Z381" s="1">
        <v>0</v>
      </c>
      <c r="AB381" s="1" t="s">
        <v>47</v>
      </c>
      <c r="AD381" s="1">
        <v>543348</v>
      </c>
      <c r="AF381" s="1" t="s">
        <v>47</v>
      </c>
      <c r="AG381" s="1" t="s">
        <v>47</v>
      </c>
      <c r="AH381" s="1" t="s">
        <v>49</v>
      </c>
      <c r="AI381" s="1" t="s">
        <v>47</v>
      </c>
      <c r="AK381" s="1" t="s">
        <v>48</v>
      </c>
      <c r="AL381" s="1" t="s">
        <v>1289</v>
      </c>
    </row>
    <row r="382" spans="1:38">
      <c r="A382" s="1">
        <v>5137482</v>
      </c>
      <c r="B382" s="1" t="s">
        <v>1290</v>
      </c>
      <c r="C382" s="1" t="str">
        <f>"9781292041537"</f>
        <v>9781292041537</v>
      </c>
      <c r="D382" s="1" t="str">
        <f>"9781292052250"</f>
        <v>9781292052250</v>
      </c>
      <c r="E382" s="1" t="s">
        <v>52</v>
      </c>
      <c r="F382" s="1" t="s">
        <v>40</v>
      </c>
      <c r="G382" s="3">
        <v>41579</v>
      </c>
      <c r="H382" s="3">
        <v>1</v>
      </c>
      <c r="I382" s="1" t="s">
        <v>41</v>
      </c>
      <c r="J382" s="1">
        <v>10</v>
      </c>
      <c r="L382" s="1" t="s">
        <v>1291</v>
      </c>
      <c r="M382" s="1" t="s">
        <v>54</v>
      </c>
      <c r="O382" s="1">
        <v>373.11020000000002</v>
      </c>
      <c r="Q382" s="1" t="s">
        <v>46</v>
      </c>
      <c r="R382" s="1" t="s">
        <v>47</v>
      </c>
      <c r="S382" s="1" t="s">
        <v>47</v>
      </c>
      <c r="T382" s="1" t="s">
        <v>48</v>
      </c>
      <c r="U382" s="1" t="s">
        <v>47</v>
      </c>
      <c r="V382" s="1" t="s">
        <v>47</v>
      </c>
      <c r="W382" s="1" t="s">
        <v>47</v>
      </c>
      <c r="Z382" s="1">
        <v>0</v>
      </c>
      <c r="AB382" s="1" t="s">
        <v>47</v>
      </c>
      <c r="AD382" s="1">
        <v>543472</v>
      </c>
      <c r="AF382" s="1" t="s">
        <v>47</v>
      </c>
      <c r="AG382" s="1" t="s">
        <v>47</v>
      </c>
      <c r="AH382" s="1" t="s">
        <v>49</v>
      </c>
      <c r="AI382" s="1" t="s">
        <v>47</v>
      </c>
      <c r="AK382" s="1" t="s">
        <v>48</v>
      </c>
      <c r="AL382" s="1" t="s">
        <v>1292</v>
      </c>
    </row>
    <row r="383" spans="1:38">
      <c r="A383" s="1">
        <v>5137483</v>
      </c>
      <c r="B383" s="1" t="s">
        <v>1293</v>
      </c>
      <c r="C383" s="1" t="str">
        <f>"9781292021966"</f>
        <v>9781292021966</v>
      </c>
      <c r="D383" s="1" t="str">
        <f>"9781292035178"</f>
        <v>9781292035178</v>
      </c>
      <c r="E383" s="1" t="s">
        <v>52</v>
      </c>
      <c r="F383" s="1" t="s">
        <v>40</v>
      </c>
      <c r="G383" s="3">
        <v>41487</v>
      </c>
      <c r="H383" s="3">
        <v>1</v>
      </c>
      <c r="I383" s="1" t="s">
        <v>41</v>
      </c>
      <c r="J383" s="1">
        <v>9</v>
      </c>
      <c r="L383" s="1" t="s">
        <v>1294</v>
      </c>
      <c r="M383" s="1" t="s">
        <v>1295</v>
      </c>
      <c r="O383" s="1">
        <v>612.79999999999995</v>
      </c>
      <c r="Q383" s="1" t="s">
        <v>46</v>
      </c>
      <c r="R383" s="1" t="s">
        <v>47</v>
      </c>
      <c r="S383" s="1" t="s">
        <v>47</v>
      </c>
      <c r="T383" s="1" t="s">
        <v>48</v>
      </c>
      <c r="U383" s="1" t="s">
        <v>47</v>
      </c>
      <c r="V383" s="1" t="s">
        <v>47</v>
      </c>
      <c r="W383" s="1" t="s">
        <v>47</v>
      </c>
      <c r="Z383" s="1">
        <v>0</v>
      </c>
      <c r="AB383" s="1" t="s">
        <v>47</v>
      </c>
      <c r="AD383" s="1">
        <v>527312</v>
      </c>
      <c r="AF383" s="1" t="s">
        <v>47</v>
      </c>
      <c r="AG383" s="1" t="s">
        <v>47</v>
      </c>
      <c r="AH383" s="1" t="s">
        <v>49</v>
      </c>
      <c r="AI383" s="1" t="s">
        <v>47</v>
      </c>
      <c r="AK383" s="1" t="s">
        <v>48</v>
      </c>
      <c r="AL383" s="1" t="s">
        <v>1296</v>
      </c>
    </row>
    <row r="384" spans="1:38">
      <c r="A384" s="1">
        <v>5137484</v>
      </c>
      <c r="B384" s="1" t="s">
        <v>1297</v>
      </c>
      <c r="C384" s="1" t="str">
        <f>"9781292023205"</f>
        <v>9781292023205</v>
      </c>
      <c r="D384" s="1" t="str">
        <f>"9781292036380"</f>
        <v>9781292036380</v>
      </c>
      <c r="E384" s="1" t="s">
        <v>52</v>
      </c>
      <c r="F384" s="1" t="s">
        <v>40</v>
      </c>
      <c r="G384" s="3">
        <v>41514</v>
      </c>
      <c r="H384" s="3">
        <v>1</v>
      </c>
      <c r="I384" s="1" t="s">
        <v>41</v>
      </c>
      <c r="J384" s="1">
        <v>11</v>
      </c>
      <c r="L384" s="1" t="s">
        <v>1294</v>
      </c>
      <c r="M384" s="1" t="s">
        <v>1298</v>
      </c>
      <c r="N384" s="1" t="s">
        <v>1299</v>
      </c>
      <c r="O384" s="1">
        <v>612.79999999999995</v>
      </c>
      <c r="Q384" s="1" t="s">
        <v>46</v>
      </c>
      <c r="R384" s="1" t="s">
        <v>47</v>
      </c>
      <c r="S384" s="1" t="s">
        <v>47</v>
      </c>
      <c r="T384" s="1" t="s">
        <v>48</v>
      </c>
      <c r="U384" s="1" t="s">
        <v>47</v>
      </c>
      <c r="V384" s="1" t="s">
        <v>47</v>
      </c>
      <c r="W384" s="1" t="s">
        <v>47</v>
      </c>
      <c r="Z384" s="1">
        <v>0</v>
      </c>
      <c r="AB384" s="1" t="s">
        <v>47</v>
      </c>
      <c r="AD384" s="1">
        <v>527381</v>
      </c>
      <c r="AF384" s="1" t="s">
        <v>47</v>
      </c>
      <c r="AG384" s="1" t="s">
        <v>47</v>
      </c>
      <c r="AH384" s="1" t="s">
        <v>49</v>
      </c>
      <c r="AI384" s="1" t="s">
        <v>47</v>
      </c>
      <c r="AK384" s="1" t="s">
        <v>48</v>
      </c>
      <c r="AL384" s="1" t="s">
        <v>1300</v>
      </c>
    </row>
    <row r="385" spans="1:38">
      <c r="A385" s="1">
        <v>5137486</v>
      </c>
      <c r="B385" s="1" t="s">
        <v>454</v>
      </c>
      <c r="C385" s="1" t="str">
        <f>"9781292039695"</f>
        <v>9781292039695</v>
      </c>
      <c r="D385" s="1" t="str">
        <f>"9781292056142"</f>
        <v>9781292056142</v>
      </c>
      <c r="E385" s="1" t="s">
        <v>52</v>
      </c>
      <c r="F385" s="1" t="s">
        <v>40</v>
      </c>
      <c r="G385" s="3">
        <v>41579</v>
      </c>
      <c r="H385" s="3">
        <v>1</v>
      </c>
      <c r="I385" s="1" t="s">
        <v>41</v>
      </c>
      <c r="J385" s="1">
        <v>7</v>
      </c>
      <c r="L385" s="1" t="s">
        <v>1301</v>
      </c>
      <c r="M385" s="1" t="s">
        <v>100</v>
      </c>
      <c r="O385" s="1">
        <v>150</v>
      </c>
      <c r="Q385" s="1" t="s">
        <v>46</v>
      </c>
      <c r="R385" s="1" t="s">
        <v>47</v>
      </c>
      <c r="S385" s="1" t="s">
        <v>47</v>
      </c>
      <c r="T385" s="1" t="s">
        <v>48</v>
      </c>
      <c r="U385" s="1" t="s">
        <v>47</v>
      </c>
      <c r="V385" s="1" t="s">
        <v>47</v>
      </c>
      <c r="W385" s="1" t="s">
        <v>47</v>
      </c>
      <c r="Z385" s="1">
        <v>0</v>
      </c>
      <c r="AB385" s="1" t="s">
        <v>47</v>
      </c>
      <c r="AD385" s="1">
        <v>543477</v>
      </c>
      <c r="AF385" s="1" t="s">
        <v>47</v>
      </c>
      <c r="AG385" s="1" t="s">
        <v>47</v>
      </c>
      <c r="AH385" s="1" t="s">
        <v>49</v>
      </c>
      <c r="AI385" s="1" t="s">
        <v>47</v>
      </c>
      <c r="AK385" s="1" t="s">
        <v>48</v>
      </c>
      <c r="AL385" s="1" t="s">
        <v>1302</v>
      </c>
    </row>
    <row r="386" spans="1:38">
      <c r="A386" s="1">
        <v>5137488</v>
      </c>
      <c r="B386" s="1" t="s">
        <v>1303</v>
      </c>
      <c r="C386" s="1" t="str">
        <f>"9781292027210"</f>
        <v>9781292027210</v>
      </c>
      <c r="D386" s="1" t="str">
        <f>"9781292052267"</f>
        <v>9781292052267</v>
      </c>
      <c r="E386" s="1" t="s">
        <v>52</v>
      </c>
      <c r="F386" s="1" t="s">
        <v>40</v>
      </c>
      <c r="G386" s="3">
        <v>41550</v>
      </c>
      <c r="H386" s="3">
        <v>1</v>
      </c>
      <c r="I386" s="1" t="s">
        <v>41</v>
      </c>
      <c r="J386" s="1">
        <v>9</v>
      </c>
      <c r="L386" s="1" t="s">
        <v>1304</v>
      </c>
      <c r="Q386" s="1" t="s">
        <v>46</v>
      </c>
      <c r="R386" s="1" t="s">
        <v>47</v>
      </c>
      <c r="S386" s="1" t="s">
        <v>47</v>
      </c>
      <c r="T386" s="1" t="s">
        <v>48</v>
      </c>
      <c r="U386" s="1" t="s">
        <v>47</v>
      </c>
      <c r="V386" s="1" t="s">
        <v>47</v>
      </c>
      <c r="W386" s="1" t="s">
        <v>47</v>
      </c>
      <c r="Z386" s="1">
        <v>0</v>
      </c>
      <c r="AB386" s="1" t="s">
        <v>47</v>
      </c>
      <c r="AD386" s="1">
        <v>543437</v>
      </c>
      <c r="AF386" s="1" t="s">
        <v>47</v>
      </c>
      <c r="AG386" s="1" t="s">
        <v>47</v>
      </c>
      <c r="AH386" s="1" t="s">
        <v>49</v>
      </c>
      <c r="AI386" s="1" t="s">
        <v>47</v>
      </c>
      <c r="AK386" s="1" t="s">
        <v>48</v>
      </c>
      <c r="AL386" s="1" t="s">
        <v>1305</v>
      </c>
    </row>
    <row r="387" spans="1:38">
      <c r="A387" s="1">
        <v>5137494</v>
      </c>
      <c r="B387" s="1" t="s">
        <v>1306</v>
      </c>
      <c r="C387" s="1" t="str">
        <f>"9781292039954"</f>
        <v>9781292039954</v>
      </c>
      <c r="D387" s="1" t="str">
        <f>"9781292052274"</f>
        <v>9781292052274</v>
      </c>
      <c r="E387" s="1" t="s">
        <v>52</v>
      </c>
      <c r="F387" s="1" t="s">
        <v>40</v>
      </c>
      <c r="G387" s="3">
        <v>41579</v>
      </c>
      <c r="H387" s="3">
        <v>1</v>
      </c>
      <c r="I387" s="1" t="s">
        <v>41</v>
      </c>
      <c r="J387" s="1">
        <v>10</v>
      </c>
      <c r="L387" s="1" t="s">
        <v>1307</v>
      </c>
      <c r="M387" s="1" t="s">
        <v>162</v>
      </c>
      <c r="O387" s="1">
        <v>344.730189</v>
      </c>
      <c r="Q387" s="1" t="s">
        <v>46</v>
      </c>
      <c r="R387" s="1" t="s">
        <v>47</v>
      </c>
      <c r="S387" s="1" t="s">
        <v>47</v>
      </c>
      <c r="T387" s="1" t="s">
        <v>48</v>
      </c>
      <c r="U387" s="1" t="s">
        <v>47</v>
      </c>
      <c r="V387" s="1" t="s">
        <v>47</v>
      </c>
      <c r="W387" s="1" t="s">
        <v>47</v>
      </c>
      <c r="Z387" s="1">
        <v>0</v>
      </c>
      <c r="AB387" s="1" t="s">
        <v>47</v>
      </c>
      <c r="AD387" s="1">
        <v>543322</v>
      </c>
      <c r="AF387" s="1" t="s">
        <v>47</v>
      </c>
      <c r="AG387" s="1" t="s">
        <v>47</v>
      </c>
      <c r="AH387" s="1" t="s">
        <v>49</v>
      </c>
      <c r="AI387" s="1" t="s">
        <v>47</v>
      </c>
      <c r="AK387" s="1" t="s">
        <v>48</v>
      </c>
      <c r="AL387" s="1" t="s">
        <v>1308</v>
      </c>
    </row>
    <row r="388" spans="1:38">
      <c r="A388" s="1">
        <v>5137498</v>
      </c>
      <c r="B388" s="1" t="s">
        <v>1309</v>
      </c>
      <c r="C388" s="1" t="str">
        <f>"9781292042619"</f>
        <v>9781292042619</v>
      </c>
      <c r="D388" s="1" t="str">
        <f>"9781292052281"</f>
        <v>9781292052281</v>
      </c>
      <c r="E388" s="1" t="s">
        <v>52</v>
      </c>
      <c r="F388" s="1" t="s">
        <v>40</v>
      </c>
      <c r="G388" s="3">
        <v>41579</v>
      </c>
      <c r="H388" s="3">
        <v>1</v>
      </c>
      <c r="I388" s="1" t="s">
        <v>41</v>
      </c>
      <c r="J388" s="1">
        <v>1</v>
      </c>
      <c r="L388" s="1" t="s">
        <v>1310</v>
      </c>
      <c r="M388" s="1" t="s">
        <v>54</v>
      </c>
      <c r="O388" s="1">
        <v>378.17028099999999</v>
      </c>
      <c r="Q388" s="1" t="s">
        <v>46</v>
      </c>
      <c r="R388" s="1" t="s">
        <v>47</v>
      </c>
      <c r="S388" s="1" t="s">
        <v>47</v>
      </c>
      <c r="T388" s="1" t="s">
        <v>48</v>
      </c>
      <c r="U388" s="1" t="s">
        <v>47</v>
      </c>
      <c r="V388" s="1" t="s">
        <v>47</v>
      </c>
      <c r="W388" s="1" t="s">
        <v>47</v>
      </c>
      <c r="Z388" s="1">
        <v>0</v>
      </c>
      <c r="AB388" s="1" t="s">
        <v>47</v>
      </c>
      <c r="AD388" s="1">
        <v>543536</v>
      </c>
      <c r="AF388" s="1" t="s">
        <v>47</v>
      </c>
      <c r="AG388" s="1" t="s">
        <v>47</v>
      </c>
      <c r="AH388" s="1" t="s">
        <v>49</v>
      </c>
      <c r="AI388" s="1" t="s">
        <v>47</v>
      </c>
      <c r="AK388" s="1" t="s">
        <v>48</v>
      </c>
      <c r="AL388" s="1" t="s">
        <v>1311</v>
      </c>
    </row>
    <row r="389" spans="1:38">
      <c r="A389" s="1">
        <v>5137500</v>
      </c>
      <c r="B389" s="1" t="s">
        <v>1312</v>
      </c>
      <c r="C389" s="1" t="str">
        <f>"9780273726104"</f>
        <v>9780273726104</v>
      </c>
      <c r="D389" s="1" t="str">
        <f>"9780273726111"</f>
        <v>9780273726111</v>
      </c>
      <c r="E389" s="1" t="s">
        <v>52</v>
      </c>
      <c r="F389" s="1" t="s">
        <v>40</v>
      </c>
      <c r="G389" s="3">
        <v>41045</v>
      </c>
      <c r="H389" s="3">
        <v>1</v>
      </c>
      <c r="I389" s="1" t="s">
        <v>41</v>
      </c>
      <c r="J389" s="1">
        <v>3</v>
      </c>
      <c r="L389" s="1" t="s">
        <v>1313</v>
      </c>
      <c r="M389" s="1" t="s">
        <v>59</v>
      </c>
      <c r="N389" s="1" t="s">
        <v>1314</v>
      </c>
      <c r="O389" s="1">
        <v>658.02200000000005</v>
      </c>
      <c r="Q389" s="1" t="s">
        <v>46</v>
      </c>
      <c r="R389" s="1" t="s">
        <v>47</v>
      </c>
      <c r="S389" s="1" t="s">
        <v>47</v>
      </c>
      <c r="T389" s="1" t="s">
        <v>48</v>
      </c>
      <c r="U389" s="1" t="s">
        <v>47</v>
      </c>
      <c r="V389" s="1" t="s">
        <v>47</v>
      </c>
      <c r="W389" s="1" t="s">
        <v>47</v>
      </c>
      <c r="Z389" s="1">
        <v>0</v>
      </c>
      <c r="AB389" s="1" t="s">
        <v>47</v>
      </c>
      <c r="AD389" s="1">
        <v>388859</v>
      </c>
      <c r="AF389" s="1" t="s">
        <v>47</v>
      </c>
      <c r="AG389" s="1" t="s">
        <v>47</v>
      </c>
      <c r="AH389" s="1" t="s">
        <v>49</v>
      </c>
      <c r="AI389" s="1" t="s">
        <v>47</v>
      </c>
      <c r="AK389" s="1" t="s">
        <v>48</v>
      </c>
      <c r="AL389" s="1" t="s">
        <v>1315</v>
      </c>
    </row>
    <row r="390" spans="1:38">
      <c r="A390" s="1">
        <v>5137513</v>
      </c>
      <c r="B390" s="1" t="s">
        <v>1316</v>
      </c>
      <c r="C390" s="1" t="str">
        <f>"9781292022604"</f>
        <v>9781292022604</v>
      </c>
      <c r="D390" s="1" t="str">
        <f>"9781292035802"</f>
        <v>9781292035802</v>
      </c>
      <c r="E390" s="1" t="s">
        <v>52</v>
      </c>
      <c r="F390" s="1" t="s">
        <v>40</v>
      </c>
      <c r="G390" s="3">
        <v>41472</v>
      </c>
      <c r="H390" s="3">
        <v>1</v>
      </c>
      <c r="I390" s="1" t="s">
        <v>41</v>
      </c>
      <c r="J390" s="1">
        <v>1</v>
      </c>
      <c r="L390" s="1" t="s">
        <v>1317</v>
      </c>
      <c r="M390" s="1" t="s">
        <v>468</v>
      </c>
      <c r="O390" s="1">
        <v>100</v>
      </c>
      <c r="Q390" s="1" t="s">
        <v>46</v>
      </c>
      <c r="R390" s="1" t="s">
        <v>47</v>
      </c>
      <c r="S390" s="1" t="s">
        <v>47</v>
      </c>
      <c r="T390" s="1" t="s">
        <v>48</v>
      </c>
      <c r="U390" s="1" t="s">
        <v>47</v>
      </c>
      <c r="V390" s="1" t="s">
        <v>47</v>
      </c>
      <c r="W390" s="1" t="s">
        <v>47</v>
      </c>
      <c r="Z390" s="1">
        <v>0</v>
      </c>
      <c r="AB390" s="1" t="s">
        <v>47</v>
      </c>
      <c r="AD390" s="1">
        <v>527403</v>
      </c>
      <c r="AF390" s="1" t="s">
        <v>47</v>
      </c>
      <c r="AG390" s="1" t="s">
        <v>47</v>
      </c>
      <c r="AH390" s="1" t="s">
        <v>49</v>
      </c>
      <c r="AI390" s="1" t="s">
        <v>47</v>
      </c>
      <c r="AK390" s="1" t="s">
        <v>48</v>
      </c>
      <c r="AL390" s="1" t="s">
        <v>1318</v>
      </c>
    </row>
    <row r="391" spans="1:38">
      <c r="A391" s="1">
        <v>5137514</v>
      </c>
      <c r="B391" s="1" t="s">
        <v>1319</v>
      </c>
      <c r="C391" s="1" t="str">
        <f>"9780273752011"</f>
        <v>9780273752011</v>
      </c>
      <c r="D391" s="1" t="str">
        <f>"9780273752066"</f>
        <v>9780273752066</v>
      </c>
      <c r="E391" s="1" t="s">
        <v>52</v>
      </c>
      <c r="F391" s="1" t="s">
        <v>67</v>
      </c>
      <c r="G391" s="3">
        <v>41339</v>
      </c>
      <c r="H391" s="3">
        <v>1</v>
      </c>
      <c r="I391" s="1" t="s">
        <v>41</v>
      </c>
      <c r="J391" s="1">
        <v>5</v>
      </c>
      <c r="L391" s="1" t="s">
        <v>1320</v>
      </c>
      <c r="M391" s="1" t="s">
        <v>59</v>
      </c>
      <c r="N391" s="1" t="s">
        <v>1321</v>
      </c>
      <c r="O391" s="1" t="s">
        <v>1322</v>
      </c>
      <c r="Q391" s="1" t="s">
        <v>46</v>
      </c>
      <c r="R391" s="1" t="s">
        <v>47</v>
      </c>
      <c r="S391" s="1" t="s">
        <v>47</v>
      </c>
      <c r="T391" s="1" t="s">
        <v>48</v>
      </c>
      <c r="U391" s="1" t="s">
        <v>47</v>
      </c>
      <c r="V391" s="1" t="s">
        <v>47</v>
      </c>
      <c r="W391" s="1" t="s">
        <v>47</v>
      </c>
      <c r="Z391" s="1">
        <v>0</v>
      </c>
      <c r="AB391" s="1" t="s">
        <v>47</v>
      </c>
      <c r="AD391" s="1">
        <v>463038</v>
      </c>
      <c r="AF391" s="1" t="s">
        <v>47</v>
      </c>
      <c r="AG391" s="1" t="s">
        <v>47</v>
      </c>
      <c r="AH391" s="1" t="s">
        <v>49</v>
      </c>
      <c r="AI391" s="1" t="s">
        <v>47</v>
      </c>
      <c r="AK391" s="1" t="s">
        <v>48</v>
      </c>
      <c r="AL391" s="1" t="s">
        <v>1323</v>
      </c>
    </row>
    <row r="392" spans="1:38">
      <c r="A392" s="1">
        <v>5137520</v>
      </c>
      <c r="B392" s="1" t="s">
        <v>1324</v>
      </c>
      <c r="C392" s="1" t="str">
        <f>"9781292041933"</f>
        <v>9781292041933</v>
      </c>
      <c r="D392" s="1" t="str">
        <f>"9781292052328"</f>
        <v>9781292052328</v>
      </c>
      <c r="E392" s="1" t="s">
        <v>52</v>
      </c>
      <c r="F392" s="1" t="s">
        <v>40</v>
      </c>
      <c r="G392" s="3">
        <v>41579</v>
      </c>
      <c r="H392" s="3">
        <v>1</v>
      </c>
      <c r="I392" s="1" t="s">
        <v>41</v>
      </c>
      <c r="J392" s="1">
        <v>8</v>
      </c>
      <c r="L392" s="1" t="s">
        <v>1325</v>
      </c>
      <c r="M392" s="1" t="s">
        <v>54</v>
      </c>
      <c r="O392" s="1">
        <v>372.83044097300001</v>
      </c>
      <c r="Q392" s="1" t="s">
        <v>46</v>
      </c>
      <c r="R392" s="1" t="s">
        <v>47</v>
      </c>
      <c r="S392" s="1" t="s">
        <v>47</v>
      </c>
      <c r="T392" s="1" t="s">
        <v>48</v>
      </c>
      <c r="U392" s="1" t="s">
        <v>47</v>
      </c>
      <c r="V392" s="1" t="s">
        <v>47</v>
      </c>
      <c r="W392" s="1" t="s">
        <v>47</v>
      </c>
      <c r="Z392" s="1">
        <v>0</v>
      </c>
      <c r="AB392" s="1" t="s">
        <v>47</v>
      </c>
      <c r="AD392" s="1">
        <v>543379</v>
      </c>
      <c r="AF392" s="1" t="s">
        <v>47</v>
      </c>
      <c r="AG392" s="1" t="s">
        <v>47</v>
      </c>
      <c r="AH392" s="1" t="s">
        <v>49</v>
      </c>
      <c r="AI392" s="1" t="s">
        <v>47</v>
      </c>
      <c r="AK392" s="1" t="s">
        <v>48</v>
      </c>
      <c r="AL392" s="1" t="s">
        <v>1326</v>
      </c>
    </row>
    <row r="393" spans="1:38">
      <c r="A393" s="1">
        <v>5137523</v>
      </c>
      <c r="B393" s="1" t="s">
        <v>1327</v>
      </c>
      <c r="C393" s="1" t="str">
        <f>"9781292041926"</f>
        <v>9781292041926</v>
      </c>
      <c r="D393" s="1" t="str">
        <f>"9781292052335"</f>
        <v>9781292052335</v>
      </c>
      <c r="E393" s="1" t="s">
        <v>52</v>
      </c>
      <c r="F393" s="1" t="s">
        <v>40</v>
      </c>
      <c r="G393" s="3">
        <v>41579</v>
      </c>
      <c r="H393" s="3">
        <v>1</v>
      </c>
      <c r="I393" s="1" t="s">
        <v>41</v>
      </c>
      <c r="J393" s="1">
        <v>11</v>
      </c>
      <c r="L393" s="1" t="s">
        <v>1328</v>
      </c>
      <c r="M393" s="1" t="s">
        <v>54</v>
      </c>
      <c r="O393" s="1">
        <v>371.10239999999999</v>
      </c>
      <c r="Q393" s="1" t="s">
        <v>46</v>
      </c>
      <c r="R393" s="1" t="s">
        <v>47</v>
      </c>
      <c r="S393" s="1" t="s">
        <v>47</v>
      </c>
      <c r="T393" s="1" t="s">
        <v>48</v>
      </c>
      <c r="U393" s="1" t="s">
        <v>47</v>
      </c>
      <c r="V393" s="1" t="s">
        <v>47</v>
      </c>
      <c r="W393" s="1" t="s">
        <v>47</v>
      </c>
      <c r="Z393" s="1">
        <v>0</v>
      </c>
      <c r="AB393" s="1" t="s">
        <v>47</v>
      </c>
      <c r="AD393" s="1">
        <v>543513</v>
      </c>
      <c r="AF393" s="1" t="s">
        <v>47</v>
      </c>
      <c r="AG393" s="1" t="s">
        <v>47</v>
      </c>
      <c r="AH393" s="1" t="s">
        <v>49</v>
      </c>
      <c r="AI393" s="1" t="s">
        <v>47</v>
      </c>
      <c r="AK393" s="1" t="s">
        <v>48</v>
      </c>
      <c r="AL393" s="1" t="s">
        <v>1329</v>
      </c>
    </row>
    <row r="394" spans="1:38">
      <c r="A394" s="1">
        <v>5137525</v>
      </c>
      <c r="B394" s="1" t="s">
        <v>1330</v>
      </c>
      <c r="C394" s="1" t="str">
        <f>"9781292023403"</f>
        <v>9781292023403</v>
      </c>
      <c r="D394" s="1" t="str">
        <f>"9781292036571"</f>
        <v>9781292036571</v>
      </c>
      <c r="E394" s="1" t="s">
        <v>52</v>
      </c>
      <c r="F394" s="1" t="s">
        <v>40</v>
      </c>
      <c r="G394" s="3">
        <v>41514</v>
      </c>
      <c r="H394" s="3">
        <v>1</v>
      </c>
      <c r="I394" s="1" t="s">
        <v>41</v>
      </c>
      <c r="J394" s="1">
        <v>8</v>
      </c>
      <c r="L394" s="1" t="s">
        <v>1331</v>
      </c>
      <c r="M394" s="1" t="s">
        <v>162</v>
      </c>
      <c r="O394" s="1">
        <v>346.73070000000001</v>
      </c>
      <c r="Q394" s="1" t="s">
        <v>46</v>
      </c>
      <c r="R394" s="1" t="s">
        <v>47</v>
      </c>
      <c r="S394" s="1" t="s">
        <v>47</v>
      </c>
      <c r="T394" s="1" t="s">
        <v>48</v>
      </c>
      <c r="U394" s="1" t="s">
        <v>47</v>
      </c>
      <c r="V394" s="1" t="s">
        <v>47</v>
      </c>
      <c r="W394" s="1" t="s">
        <v>47</v>
      </c>
      <c r="Z394" s="1">
        <v>0</v>
      </c>
      <c r="AB394" s="1" t="s">
        <v>47</v>
      </c>
      <c r="AD394" s="1">
        <v>527090</v>
      </c>
      <c r="AF394" s="1" t="s">
        <v>47</v>
      </c>
      <c r="AG394" s="1" t="s">
        <v>47</v>
      </c>
      <c r="AH394" s="1" t="s">
        <v>49</v>
      </c>
      <c r="AI394" s="1" t="s">
        <v>47</v>
      </c>
      <c r="AK394" s="1" t="s">
        <v>48</v>
      </c>
      <c r="AL394" s="1" t="s">
        <v>1332</v>
      </c>
    </row>
    <row r="395" spans="1:38">
      <c r="A395" s="1">
        <v>5137531</v>
      </c>
      <c r="B395" s="1" t="s">
        <v>1333</v>
      </c>
      <c r="C395" s="1" t="str">
        <f>""</f>
        <v/>
      </c>
      <c r="D395" s="1" t="str">
        <f>"9780273785927"</f>
        <v>9780273785927</v>
      </c>
      <c r="E395" s="1" t="s">
        <v>52</v>
      </c>
      <c r="F395" s="1" t="s">
        <v>40</v>
      </c>
      <c r="G395" s="3">
        <v>41584</v>
      </c>
      <c r="H395" s="3">
        <v>1</v>
      </c>
      <c r="I395" s="1" t="s">
        <v>41</v>
      </c>
      <c r="J395" s="1">
        <v>3</v>
      </c>
      <c r="L395" s="1" t="s">
        <v>1334</v>
      </c>
      <c r="Q395" s="1" t="s">
        <v>46</v>
      </c>
      <c r="R395" s="1" t="s">
        <v>47</v>
      </c>
      <c r="S395" s="1" t="s">
        <v>47</v>
      </c>
      <c r="T395" s="1" t="s">
        <v>48</v>
      </c>
      <c r="U395" s="1" t="s">
        <v>47</v>
      </c>
      <c r="V395" s="1" t="s">
        <v>47</v>
      </c>
      <c r="W395" s="1" t="s">
        <v>47</v>
      </c>
      <c r="Z395" s="1">
        <v>0</v>
      </c>
      <c r="AB395" s="1" t="s">
        <v>47</v>
      </c>
      <c r="AD395" s="1">
        <v>523718</v>
      </c>
      <c r="AF395" s="1" t="s">
        <v>47</v>
      </c>
      <c r="AG395" s="1" t="s">
        <v>47</v>
      </c>
      <c r="AH395" s="1" t="s">
        <v>49</v>
      </c>
      <c r="AI395" s="1" t="s">
        <v>47</v>
      </c>
      <c r="AK395" s="1" t="s">
        <v>48</v>
      </c>
      <c r="AL395" s="1" t="s">
        <v>1335</v>
      </c>
    </row>
    <row r="396" spans="1:38">
      <c r="A396" s="1">
        <v>5137532</v>
      </c>
      <c r="B396" s="1" t="s">
        <v>1336</v>
      </c>
      <c r="C396" s="1" t="str">
        <f>"9781292040981"</f>
        <v>9781292040981</v>
      </c>
      <c r="D396" s="1" t="str">
        <f>"9781292052373"</f>
        <v>9781292052373</v>
      </c>
      <c r="E396" s="1" t="s">
        <v>52</v>
      </c>
      <c r="F396" s="1" t="s">
        <v>40</v>
      </c>
      <c r="G396" s="3">
        <v>41579</v>
      </c>
      <c r="H396" s="3">
        <v>1</v>
      </c>
      <c r="I396" s="1" t="s">
        <v>41</v>
      </c>
      <c r="J396" s="1">
        <v>10</v>
      </c>
      <c r="L396" s="1" t="s">
        <v>1337</v>
      </c>
      <c r="M396" s="1" t="s">
        <v>1338</v>
      </c>
      <c r="O396" s="1">
        <v>333.72</v>
      </c>
      <c r="Q396" s="1" t="s">
        <v>46</v>
      </c>
      <c r="R396" s="1" t="s">
        <v>47</v>
      </c>
      <c r="S396" s="1" t="s">
        <v>47</v>
      </c>
      <c r="T396" s="1" t="s">
        <v>48</v>
      </c>
      <c r="U396" s="1" t="s">
        <v>47</v>
      </c>
      <c r="V396" s="1" t="s">
        <v>47</v>
      </c>
      <c r="W396" s="1" t="s">
        <v>47</v>
      </c>
      <c r="Z396" s="1">
        <v>0</v>
      </c>
      <c r="AB396" s="1" t="s">
        <v>47</v>
      </c>
      <c r="AD396" s="1">
        <v>543596</v>
      </c>
      <c r="AF396" s="1" t="s">
        <v>47</v>
      </c>
      <c r="AG396" s="1" t="s">
        <v>47</v>
      </c>
      <c r="AH396" s="1" t="s">
        <v>49</v>
      </c>
      <c r="AI396" s="1" t="s">
        <v>47</v>
      </c>
      <c r="AK396" s="1" t="s">
        <v>48</v>
      </c>
      <c r="AL396" s="1" t="s">
        <v>1339</v>
      </c>
    </row>
    <row r="397" spans="1:38">
      <c r="A397" s="1">
        <v>5137537</v>
      </c>
      <c r="B397" s="1" t="s">
        <v>1340</v>
      </c>
      <c r="C397" s="1" t="str">
        <f>"9781292039046"</f>
        <v>9781292039046</v>
      </c>
      <c r="D397" s="1" t="str">
        <f>"9781292052397"</f>
        <v>9781292052397</v>
      </c>
      <c r="E397" s="1" t="s">
        <v>52</v>
      </c>
      <c r="F397" s="1" t="s">
        <v>40</v>
      </c>
      <c r="G397" s="3">
        <v>41579</v>
      </c>
      <c r="H397" s="3">
        <v>1</v>
      </c>
      <c r="I397" s="1" t="s">
        <v>41</v>
      </c>
      <c r="J397" s="1">
        <v>2</v>
      </c>
      <c r="L397" s="1" t="s">
        <v>1341</v>
      </c>
      <c r="M397" s="1" t="s">
        <v>100</v>
      </c>
      <c r="O397" s="1">
        <v>158.6</v>
      </c>
      <c r="Q397" s="1" t="s">
        <v>46</v>
      </c>
      <c r="R397" s="1" t="s">
        <v>47</v>
      </c>
      <c r="S397" s="1" t="s">
        <v>47</v>
      </c>
      <c r="T397" s="1" t="s">
        <v>48</v>
      </c>
      <c r="U397" s="1" t="s">
        <v>47</v>
      </c>
      <c r="V397" s="1" t="s">
        <v>47</v>
      </c>
      <c r="W397" s="1" t="s">
        <v>47</v>
      </c>
      <c r="Z397" s="1">
        <v>0</v>
      </c>
      <c r="AB397" s="1" t="s">
        <v>47</v>
      </c>
      <c r="AD397" s="1">
        <v>543399</v>
      </c>
      <c r="AF397" s="1" t="s">
        <v>47</v>
      </c>
      <c r="AG397" s="1" t="s">
        <v>47</v>
      </c>
      <c r="AH397" s="1" t="s">
        <v>49</v>
      </c>
      <c r="AI397" s="1" t="s">
        <v>47</v>
      </c>
      <c r="AK397" s="1" t="s">
        <v>48</v>
      </c>
      <c r="AL397" s="1" t="s">
        <v>1342</v>
      </c>
    </row>
    <row r="398" spans="1:38">
      <c r="A398" s="1">
        <v>5137540</v>
      </c>
      <c r="B398" s="1" t="s">
        <v>1343</v>
      </c>
      <c r="C398" s="1" t="str">
        <f>"9781292022291"</f>
        <v>9781292022291</v>
      </c>
      <c r="D398" s="1" t="str">
        <f>"9781292035499"</f>
        <v>9781292035499</v>
      </c>
      <c r="E398" s="1" t="s">
        <v>52</v>
      </c>
      <c r="F398" s="1" t="s">
        <v>40</v>
      </c>
      <c r="G398" s="3">
        <v>41478</v>
      </c>
      <c r="H398" s="3">
        <v>1</v>
      </c>
      <c r="I398" s="1" t="s">
        <v>41</v>
      </c>
      <c r="J398" s="1">
        <v>5</v>
      </c>
      <c r="L398" s="1" t="s">
        <v>1344</v>
      </c>
      <c r="M398" s="1" t="s">
        <v>100</v>
      </c>
      <c r="O398" s="1">
        <v>153.852</v>
      </c>
      <c r="Q398" s="1" t="s">
        <v>46</v>
      </c>
      <c r="R398" s="1" t="s">
        <v>47</v>
      </c>
      <c r="S398" s="1" t="s">
        <v>47</v>
      </c>
      <c r="T398" s="1" t="s">
        <v>48</v>
      </c>
      <c r="U398" s="1" t="s">
        <v>47</v>
      </c>
      <c r="V398" s="1" t="s">
        <v>47</v>
      </c>
      <c r="W398" s="1" t="s">
        <v>47</v>
      </c>
      <c r="Z398" s="1">
        <v>0</v>
      </c>
      <c r="AB398" s="1" t="s">
        <v>47</v>
      </c>
      <c r="AD398" s="1">
        <v>527199</v>
      </c>
      <c r="AF398" s="1" t="s">
        <v>47</v>
      </c>
      <c r="AG398" s="1" t="s">
        <v>47</v>
      </c>
      <c r="AH398" s="1" t="s">
        <v>49</v>
      </c>
      <c r="AI398" s="1" t="s">
        <v>47</v>
      </c>
      <c r="AK398" s="1" t="s">
        <v>48</v>
      </c>
      <c r="AL398" s="1" t="s">
        <v>1345</v>
      </c>
    </row>
    <row r="399" spans="1:38">
      <c r="A399" s="1">
        <v>5137542</v>
      </c>
      <c r="B399" s="1" t="s">
        <v>454</v>
      </c>
      <c r="C399" s="1" t="str">
        <f>"9781292023175"</f>
        <v>9781292023175</v>
      </c>
      <c r="D399" s="1" t="str">
        <f>"9781292036359"</f>
        <v>9781292036359</v>
      </c>
      <c r="E399" s="1" t="s">
        <v>52</v>
      </c>
      <c r="F399" s="1" t="s">
        <v>40</v>
      </c>
      <c r="G399" s="3">
        <v>41485</v>
      </c>
      <c r="H399" s="3">
        <v>1</v>
      </c>
      <c r="I399" s="1" t="s">
        <v>41</v>
      </c>
      <c r="J399" s="1">
        <v>2</v>
      </c>
      <c r="L399" s="1" t="s">
        <v>1346</v>
      </c>
      <c r="M399" s="1" t="s">
        <v>100</v>
      </c>
      <c r="O399" s="1">
        <v>150</v>
      </c>
      <c r="Q399" s="1" t="s">
        <v>46</v>
      </c>
      <c r="R399" s="1" t="s">
        <v>47</v>
      </c>
      <c r="S399" s="1" t="s">
        <v>47</v>
      </c>
      <c r="T399" s="1" t="s">
        <v>48</v>
      </c>
      <c r="U399" s="1" t="s">
        <v>47</v>
      </c>
      <c r="V399" s="1" t="s">
        <v>47</v>
      </c>
      <c r="W399" s="1" t="s">
        <v>47</v>
      </c>
      <c r="Z399" s="1">
        <v>0</v>
      </c>
      <c r="AB399" s="1" t="s">
        <v>47</v>
      </c>
      <c r="AD399" s="1">
        <v>527079</v>
      </c>
      <c r="AF399" s="1" t="s">
        <v>47</v>
      </c>
      <c r="AG399" s="1" t="s">
        <v>47</v>
      </c>
      <c r="AH399" s="1" t="s">
        <v>49</v>
      </c>
      <c r="AI399" s="1" t="s">
        <v>47</v>
      </c>
      <c r="AK399" s="1" t="s">
        <v>48</v>
      </c>
      <c r="AL399" s="1" t="s">
        <v>1347</v>
      </c>
    </row>
    <row r="400" spans="1:38">
      <c r="A400" s="1">
        <v>5137543</v>
      </c>
      <c r="B400" s="1" t="s">
        <v>1348</v>
      </c>
      <c r="C400" s="1" t="str">
        <f>"9781292040868"</f>
        <v>9781292040868</v>
      </c>
      <c r="D400" s="1" t="str">
        <f>"9781292052403"</f>
        <v>9781292052403</v>
      </c>
      <c r="E400" s="1" t="s">
        <v>52</v>
      </c>
      <c r="F400" s="1" t="s">
        <v>40</v>
      </c>
      <c r="G400" s="3">
        <v>41550</v>
      </c>
      <c r="H400" s="3">
        <v>1</v>
      </c>
      <c r="I400" s="1" t="s">
        <v>41</v>
      </c>
      <c r="J400" s="1">
        <v>5</v>
      </c>
      <c r="L400" s="1" t="s">
        <v>1349</v>
      </c>
      <c r="Q400" s="1" t="s">
        <v>46</v>
      </c>
      <c r="R400" s="1" t="s">
        <v>47</v>
      </c>
      <c r="S400" s="1" t="s">
        <v>47</v>
      </c>
      <c r="T400" s="1" t="s">
        <v>48</v>
      </c>
      <c r="U400" s="1" t="s">
        <v>47</v>
      </c>
      <c r="V400" s="1" t="s">
        <v>47</v>
      </c>
      <c r="W400" s="1" t="s">
        <v>47</v>
      </c>
      <c r="Z400" s="1">
        <v>0</v>
      </c>
      <c r="AB400" s="1" t="s">
        <v>47</v>
      </c>
      <c r="AD400" s="1">
        <v>543425</v>
      </c>
      <c r="AF400" s="1" t="s">
        <v>47</v>
      </c>
      <c r="AG400" s="1" t="s">
        <v>47</v>
      </c>
      <c r="AH400" s="1" t="s">
        <v>49</v>
      </c>
      <c r="AI400" s="1" t="s">
        <v>47</v>
      </c>
      <c r="AK400" s="1" t="s">
        <v>48</v>
      </c>
      <c r="AL400" s="1" t="s">
        <v>1350</v>
      </c>
    </row>
    <row r="401" spans="1:38">
      <c r="A401" s="1">
        <v>5137548</v>
      </c>
      <c r="B401" s="1" t="s">
        <v>1351</v>
      </c>
      <c r="C401" s="1" t="str">
        <f>"9781292039817"</f>
        <v>9781292039817</v>
      </c>
      <c r="D401" s="1" t="str">
        <f>"9781292052427"</f>
        <v>9781292052427</v>
      </c>
      <c r="E401" s="1" t="s">
        <v>52</v>
      </c>
      <c r="F401" s="1" t="s">
        <v>40</v>
      </c>
      <c r="G401" s="3">
        <v>41579</v>
      </c>
      <c r="H401" s="3">
        <v>1</v>
      </c>
      <c r="I401" s="1" t="s">
        <v>41</v>
      </c>
      <c r="J401" s="1">
        <v>10</v>
      </c>
      <c r="L401" s="1" t="s">
        <v>1352</v>
      </c>
      <c r="M401" s="1" t="s">
        <v>59</v>
      </c>
      <c r="O401" s="1">
        <v>650.01509999999996</v>
      </c>
      <c r="Q401" s="1" t="s">
        <v>46</v>
      </c>
      <c r="R401" s="1" t="s">
        <v>47</v>
      </c>
      <c r="S401" s="1" t="s">
        <v>47</v>
      </c>
      <c r="T401" s="1" t="s">
        <v>48</v>
      </c>
      <c r="U401" s="1" t="s">
        <v>47</v>
      </c>
      <c r="V401" s="1" t="s">
        <v>47</v>
      </c>
      <c r="W401" s="1" t="s">
        <v>47</v>
      </c>
      <c r="Z401" s="1">
        <v>0</v>
      </c>
      <c r="AB401" s="1" t="s">
        <v>47</v>
      </c>
      <c r="AD401" s="1">
        <v>543607</v>
      </c>
      <c r="AF401" s="1" t="s">
        <v>47</v>
      </c>
      <c r="AG401" s="1" t="s">
        <v>47</v>
      </c>
      <c r="AH401" s="1" t="s">
        <v>49</v>
      </c>
      <c r="AI401" s="1" t="s">
        <v>47</v>
      </c>
      <c r="AK401" s="1" t="s">
        <v>48</v>
      </c>
      <c r="AL401" s="1" t="s">
        <v>1353</v>
      </c>
    </row>
    <row r="402" spans="1:38">
      <c r="A402" s="1">
        <v>5137567</v>
      </c>
      <c r="B402" s="1" t="s">
        <v>1354</v>
      </c>
      <c r="C402" s="1" t="str">
        <f>"9781292039503"</f>
        <v>9781292039503</v>
      </c>
      <c r="D402" s="1" t="str">
        <f>"9781292052472"</f>
        <v>9781292052472</v>
      </c>
      <c r="E402" s="1" t="s">
        <v>52</v>
      </c>
      <c r="F402" s="1" t="s">
        <v>40</v>
      </c>
      <c r="G402" s="3">
        <v>41579</v>
      </c>
      <c r="H402" s="3">
        <v>1</v>
      </c>
      <c r="I402" s="1" t="s">
        <v>41</v>
      </c>
      <c r="J402" s="1">
        <v>5</v>
      </c>
      <c r="L402" s="1" t="s">
        <v>1355</v>
      </c>
      <c r="M402" s="1" t="s">
        <v>922</v>
      </c>
      <c r="O402" s="1">
        <v>338.47910000000002</v>
      </c>
      <c r="Q402" s="1" t="s">
        <v>46</v>
      </c>
      <c r="R402" s="1" t="s">
        <v>47</v>
      </c>
      <c r="S402" s="1" t="s">
        <v>47</v>
      </c>
      <c r="T402" s="1" t="s">
        <v>48</v>
      </c>
      <c r="U402" s="1" t="s">
        <v>47</v>
      </c>
      <c r="V402" s="1" t="s">
        <v>47</v>
      </c>
      <c r="W402" s="1" t="s">
        <v>47</v>
      </c>
      <c r="Z402" s="1">
        <v>0</v>
      </c>
      <c r="AB402" s="1" t="s">
        <v>47</v>
      </c>
      <c r="AD402" s="1">
        <v>543631</v>
      </c>
      <c r="AF402" s="1" t="s">
        <v>47</v>
      </c>
      <c r="AG402" s="1" t="s">
        <v>47</v>
      </c>
      <c r="AH402" s="1" t="s">
        <v>49</v>
      </c>
      <c r="AI402" s="1" t="s">
        <v>47</v>
      </c>
      <c r="AK402" s="1" t="s">
        <v>48</v>
      </c>
      <c r="AL402" s="1" t="s">
        <v>1356</v>
      </c>
    </row>
    <row r="403" spans="1:38">
      <c r="A403" s="1">
        <v>5137571</v>
      </c>
      <c r="B403" s="1" t="s">
        <v>1357</v>
      </c>
      <c r="C403" s="1" t="str">
        <f>"9780273724384"</f>
        <v>9780273724384</v>
      </c>
      <c r="D403" s="1" t="str">
        <f>"9780273724421"</f>
        <v>9780273724421</v>
      </c>
      <c r="E403" s="1" t="s">
        <v>52</v>
      </c>
      <c r="F403" s="1" t="s">
        <v>67</v>
      </c>
      <c r="G403" s="3">
        <v>41339</v>
      </c>
      <c r="H403" s="3">
        <v>1</v>
      </c>
      <c r="I403" s="1" t="s">
        <v>41</v>
      </c>
      <c r="J403" s="1">
        <v>1</v>
      </c>
      <c r="L403" s="1" t="s">
        <v>1358</v>
      </c>
      <c r="M403" s="1" t="s">
        <v>1359</v>
      </c>
      <c r="N403" s="1" t="s">
        <v>1360</v>
      </c>
      <c r="O403" s="1" t="s">
        <v>1361</v>
      </c>
      <c r="Q403" s="1" t="s">
        <v>46</v>
      </c>
      <c r="R403" s="1" t="s">
        <v>47</v>
      </c>
      <c r="S403" s="1" t="s">
        <v>47</v>
      </c>
      <c r="T403" s="1" t="s">
        <v>48</v>
      </c>
      <c r="U403" s="1" t="s">
        <v>47</v>
      </c>
      <c r="V403" s="1" t="s">
        <v>47</v>
      </c>
      <c r="W403" s="1" t="s">
        <v>47</v>
      </c>
      <c r="Z403" s="1">
        <v>0</v>
      </c>
      <c r="AB403" s="1" t="s">
        <v>47</v>
      </c>
      <c r="AD403" s="1">
        <v>463023</v>
      </c>
      <c r="AF403" s="1" t="s">
        <v>47</v>
      </c>
      <c r="AG403" s="1" t="s">
        <v>47</v>
      </c>
      <c r="AH403" s="1" t="s">
        <v>49</v>
      </c>
      <c r="AI403" s="1" t="s">
        <v>47</v>
      </c>
      <c r="AK403" s="1" t="s">
        <v>48</v>
      </c>
      <c r="AL403" s="1" t="s">
        <v>1362</v>
      </c>
    </row>
    <row r="404" spans="1:38">
      <c r="A404" s="1">
        <v>5137573</v>
      </c>
      <c r="B404" s="1" t="s">
        <v>1363</v>
      </c>
      <c r="C404" s="1" t="str">
        <f>"9781292023212"</f>
        <v>9781292023212</v>
      </c>
      <c r="D404" s="1" t="str">
        <f>"9781292036397"</f>
        <v>9781292036397</v>
      </c>
      <c r="E404" s="1" t="s">
        <v>52</v>
      </c>
      <c r="F404" s="1" t="s">
        <v>40</v>
      </c>
      <c r="G404" s="3">
        <v>41470</v>
      </c>
      <c r="H404" s="3">
        <v>1</v>
      </c>
      <c r="I404" s="1" t="s">
        <v>41</v>
      </c>
      <c r="J404" s="1">
        <v>2</v>
      </c>
      <c r="L404" s="1" t="s">
        <v>1364</v>
      </c>
      <c r="M404" s="1" t="s">
        <v>100</v>
      </c>
      <c r="O404" s="1">
        <v>150.1943</v>
      </c>
      <c r="Q404" s="1" t="s">
        <v>46</v>
      </c>
      <c r="R404" s="1" t="s">
        <v>47</v>
      </c>
      <c r="S404" s="1" t="s">
        <v>47</v>
      </c>
      <c r="T404" s="1" t="s">
        <v>48</v>
      </c>
      <c r="U404" s="1" t="s">
        <v>47</v>
      </c>
      <c r="V404" s="1" t="s">
        <v>47</v>
      </c>
      <c r="W404" s="1" t="s">
        <v>47</v>
      </c>
      <c r="Z404" s="1">
        <v>0</v>
      </c>
      <c r="AB404" s="1" t="s">
        <v>47</v>
      </c>
      <c r="AD404" s="1">
        <v>527362</v>
      </c>
      <c r="AF404" s="1" t="s">
        <v>47</v>
      </c>
      <c r="AG404" s="1" t="s">
        <v>47</v>
      </c>
      <c r="AH404" s="1" t="s">
        <v>49</v>
      </c>
      <c r="AI404" s="1" t="s">
        <v>47</v>
      </c>
      <c r="AK404" s="1" t="s">
        <v>48</v>
      </c>
      <c r="AL404" s="1" t="s">
        <v>1365</v>
      </c>
    </row>
    <row r="405" spans="1:38">
      <c r="A405" s="1">
        <v>5137577</v>
      </c>
      <c r="B405" s="1" t="s">
        <v>1366</v>
      </c>
      <c r="C405" s="1" t="str">
        <f>"9781292021584"</f>
        <v>9781292021584</v>
      </c>
      <c r="D405" s="1" t="str">
        <f>"9781292034812"</f>
        <v>9781292034812</v>
      </c>
      <c r="E405" s="1" t="s">
        <v>52</v>
      </c>
      <c r="F405" s="1" t="s">
        <v>40</v>
      </c>
      <c r="G405" s="3">
        <v>41472</v>
      </c>
      <c r="H405" s="3">
        <v>1</v>
      </c>
      <c r="I405" s="1" t="s">
        <v>41</v>
      </c>
      <c r="J405" s="1">
        <v>4</v>
      </c>
      <c r="L405" s="1" t="s">
        <v>1367</v>
      </c>
      <c r="M405" s="1" t="s">
        <v>59</v>
      </c>
      <c r="O405" s="1">
        <v>658.15</v>
      </c>
      <c r="Q405" s="1" t="s">
        <v>46</v>
      </c>
      <c r="R405" s="1" t="s">
        <v>47</v>
      </c>
      <c r="S405" s="1" t="s">
        <v>47</v>
      </c>
      <c r="T405" s="1" t="s">
        <v>48</v>
      </c>
      <c r="U405" s="1" t="s">
        <v>47</v>
      </c>
      <c r="V405" s="1" t="s">
        <v>47</v>
      </c>
      <c r="W405" s="1" t="s">
        <v>47</v>
      </c>
      <c r="Z405" s="1">
        <v>0</v>
      </c>
      <c r="AB405" s="1" t="s">
        <v>47</v>
      </c>
      <c r="AD405" s="1">
        <v>527223</v>
      </c>
      <c r="AF405" s="1" t="s">
        <v>47</v>
      </c>
      <c r="AG405" s="1" t="s">
        <v>47</v>
      </c>
      <c r="AH405" s="1" t="s">
        <v>49</v>
      </c>
      <c r="AI405" s="1" t="s">
        <v>47</v>
      </c>
      <c r="AK405" s="1" t="s">
        <v>48</v>
      </c>
      <c r="AL405" s="1" t="s">
        <v>1368</v>
      </c>
    </row>
    <row r="406" spans="1:38">
      <c r="A406" s="1">
        <v>5137578</v>
      </c>
      <c r="B406" s="1" t="s">
        <v>1369</v>
      </c>
      <c r="C406" s="1" t="str">
        <f>"9781292041148"</f>
        <v>9781292041148</v>
      </c>
      <c r="D406" s="1" t="str">
        <f>"9781292052496"</f>
        <v>9781292052496</v>
      </c>
      <c r="E406" s="1" t="s">
        <v>52</v>
      </c>
      <c r="F406" s="1" t="s">
        <v>40</v>
      </c>
      <c r="G406" s="3">
        <v>41579</v>
      </c>
      <c r="H406" s="3">
        <v>1</v>
      </c>
      <c r="I406" s="1" t="s">
        <v>41</v>
      </c>
      <c r="J406" s="1">
        <v>5</v>
      </c>
      <c r="L406" s="1" t="s">
        <v>1370</v>
      </c>
      <c r="M406" s="1" t="s">
        <v>54</v>
      </c>
      <c r="O406" s="1">
        <v>371.2</v>
      </c>
      <c r="Q406" s="1" t="s">
        <v>46</v>
      </c>
      <c r="R406" s="1" t="s">
        <v>47</v>
      </c>
      <c r="S406" s="1" t="s">
        <v>47</v>
      </c>
      <c r="T406" s="1" t="s">
        <v>48</v>
      </c>
      <c r="U406" s="1" t="s">
        <v>47</v>
      </c>
      <c r="V406" s="1" t="s">
        <v>47</v>
      </c>
      <c r="W406" s="1" t="s">
        <v>47</v>
      </c>
      <c r="Z406" s="1">
        <v>0</v>
      </c>
      <c r="AB406" s="1" t="s">
        <v>47</v>
      </c>
      <c r="AD406" s="1">
        <v>543450</v>
      </c>
      <c r="AF406" s="1" t="s">
        <v>47</v>
      </c>
      <c r="AG406" s="1" t="s">
        <v>47</v>
      </c>
      <c r="AH406" s="1" t="s">
        <v>49</v>
      </c>
      <c r="AI406" s="1" t="s">
        <v>47</v>
      </c>
      <c r="AK406" s="1" t="s">
        <v>48</v>
      </c>
      <c r="AL406" s="1" t="s">
        <v>1371</v>
      </c>
    </row>
    <row r="407" spans="1:38">
      <c r="A407" s="1">
        <v>5137581</v>
      </c>
      <c r="B407" s="1" t="s">
        <v>1372</v>
      </c>
      <c r="C407" s="1" t="str">
        <f>"9781292020600"</f>
        <v>9781292020600</v>
      </c>
      <c r="D407" s="1" t="str">
        <f>"9781292033884"</f>
        <v>9781292033884</v>
      </c>
      <c r="E407" s="1" t="s">
        <v>52</v>
      </c>
      <c r="F407" s="1" t="s">
        <v>40</v>
      </c>
      <c r="G407" s="3">
        <v>41488</v>
      </c>
      <c r="H407" s="3">
        <v>1</v>
      </c>
      <c r="I407" s="1" t="s">
        <v>41</v>
      </c>
      <c r="J407" s="1">
        <v>7</v>
      </c>
      <c r="L407" s="1" t="s">
        <v>1373</v>
      </c>
      <c r="M407" s="1" t="s">
        <v>422</v>
      </c>
      <c r="O407" s="1">
        <v>540</v>
      </c>
      <c r="Q407" s="1" t="s">
        <v>46</v>
      </c>
      <c r="R407" s="1" t="s">
        <v>47</v>
      </c>
      <c r="S407" s="1" t="s">
        <v>47</v>
      </c>
      <c r="T407" s="1" t="s">
        <v>48</v>
      </c>
      <c r="U407" s="1" t="s">
        <v>47</v>
      </c>
      <c r="V407" s="1" t="s">
        <v>47</v>
      </c>
      <c r="W407" s="1" t="s">
        <v>47</v>
      </c>
      <c r="Z407" s="1">
        <v>0</v>
      </c>
      <c r="AB407" s="1" t="s">
        <v>47</v>
      </c>
      <c r="AD407" s="1">
        <v>527358</v>
      </c>
      <c r="AF407" s="1" t="s">
        <v>47</v>
      </c>
      <c r="AG407" s="1" t="s">
        <v>47</v>
      </c>
      <c r="AH407" s="1" t="s">
        <v>49</v>
      </c>
      <c r="AI407" s="1" t="s">
        <v>47</v>
      </c>
      <c r="AK407" s="1" t="s">
        <v>48</v>
      </c>
      <c r="AL407" s="1" t="s">
        <v>1374</v>
      </c>
    </row>
    <row r="408" spans="1:38">
      <c r="A408" s="1">
        <v>5137584</v>
      </c>
      <c r="B408" s="1" t="s">
        <v>1375</v>
      </c>
      <c r="C408" s="1" t="str">
        <f>""</f>
        <v/>
      </c>
      <c r="D408" s="1" t="str">
        <f>"9780273774228"</f>
        <v>9780273774228</v>
      </c>
      <c r="E408" s="1" t="s">
        <v>52</v>
      </c>
      <c r="F408" s="1" t="s">
        <v>365</v>
      </c>
      <c r="G408" s="3">
        <v>41353</v>
      </c>
      <c r="H408" s="3">
        <v>1</v>
      </c>
      <c r="I408" s="1" t="s">
        <v>41</v>
      </c>
      <c r="J408" s="1">
        <v>8</v>
      </c>
      <c r="L408" s="1" t="s">
        <v>1376</v>
      </c>
      <c r="Q408" s="1" t="s">
        <v>46</v>
      </c>
      <c r="R408" s="1" t="s">
        <v>47</v>
      </c>
      <c r="S408" s="1" t="s">
        <v>47</v>
      </c>
      <c r="T408" s="1" t="s">
        <v>48</v>
      </c>
      <c r="U408" s="1" t="s">
        <v>47</v>
      </c>
      <c r="V408" s="1" t="s">
        <v>47</v>
      </c>
      <c r="W408" s="1" t="s">
        <v>47</v>
      </c>
      <c r="Z408" s="1">
        <v>0</v>
      </c>
      <c r="AB408" s="1" t="s">
        <v>47</v>
      </c>
      <c r="AD408" s="1">
        <v>469796</v>
      </c>
      <c r="AF408" s="1" t="s">
        <v>47</v>
      </c>
      <c r="AG408" s="1" t="s">
        <v>47</v>
      </c>
      <c r="AH408" s="1" t="s">
        <v>49</v>
      </c>
      <c r="AI408" s="1" t="s">
        <v>47</v>
      </c>
      <c r="AK408" s="1" t="s">
        <v>48</v>
      </c>
      <c r="AL408" s="1" t="s">
        <v>1377</v>
      </c>
    </row>
    <row r="409" spans="1:38">
      <c r="A409" s="1">
        <v>5137593</v>
      </c>
      <c r="B409" s="1" t="s">
        <v>1378</v>
      </c>
      <c r="C409" s="1" t="str">
        <f>"9781292040042"</f>
        <v>9781292040042</v>
      </c>
      <c r="D409" s="1" t="str">
        <f>"9781292052526"</f>
        <v>9781292052526</v>
      </c>
      <c r="E409" s="1" t="s">
        <v>52</v>
      </c>
      <c r="F409" s="1" t="s">
        <v>40</v>
      </c>
      <c r="G409" s="3">
        <v>41579</v>
      </c>
      <c r="H409" s="3">
        <v>1</v>
      </c>
      <c r="I409" s="1" t="s">
        <v>41</v>
      </c>
      <c r="J409" s="1">
        <v>3</v>
      </c>
      <c r="L409" s="1" t="s">
        <v>1379</v>
      </c>
      <c r="M409" s="1" t="s">
        <v>1191</v>
      </c>
      <c r="O409" s="1">
        <v>629.89200000000005</v>
      </c>
      <c r="Q409" s="1" t="s">
        <v>46</v>
      </c>
      <c r="R409" s="1" t="s">
        <v>47</v>
      </c>
      <c r="S409" s="1" t="s">
        <v>47</v>
      </c>
      <c r="T409" s="1" t="s">
        <v>48</v>
      </c>
      <c r="U409" s="1" t="s">
        <v>47</v>
      </c>
      <c r="V409" s="1" t="s">
        <v>47</v>
      </c>
      <c r="W409" s="1" t="s">
        <v>47</v>
      </c>
      <c r="Z409" s="1">
        <v>0</v>
      </c>
      <c r="AB409" s="1" t="s">
        <v>47</v>
      </c>
      <c r="AD409" s="1">
        <v>543635</v>
      </c>
      <c r="AF409" s="1" t="s">
        <v>47</v>
      </c>
      <c r="AG409" s="1" t="s">
        <v>47</v>
      </c>
      <c r="AH409" s="1" t="s">
        <v>49</v>
      </c>
      <c r="AI409" s="1" t="s">
        <v>47</v>
      </c>
      <c r="AK409" s="1" t="s">
        <v>48</v>
      </c>
      <c r="AL409" s="1" t="s">
        <v>1380</v>
      </c>
    </row>
    <row r="410" spans="1:38">
      <c r="A410" s="1">
        <v>5137595</v>
      </c>
      <c r="B410" s="1" t="s">
        <v>563</v>
      </c>
      <c r="C410" s="1" t="str">
        <f>"9781292021126"</f>
        <v>9781292021126</v>
      </c>
      <c r="D410" s="1" t="str">
        <f>"9781292034379"</f>
        <v>9781292034379</v>
      </c>
      <c r="E410" s="1" t="s">
        <v>52</v>
      </c>
      <c r="F410" s="1" t="s">
        <v>40</v>
      </c>
      <c r="G410" s="3">
        <v>41493</v>
      </c>
      <c r="H410" s="3">
        <v>1</v>
      </c>
      <c r="I410" s="1" t="s">
        <v>41</v>
      </c>
      <c r="J410" s="1">
        <v>4</v>
      </c>
      <c r="L410" s="1" t="s">
        <v>1381</v>
      </c>
      <c r="M410" s="1" t="s">
        <v>54</v>
      </c>
      <c r="O410" s="1">
        <v>370.72</v>
      </c>
      <c r="Q410" s="1" t="s">
        <v>46</v>
      </c>
      <c r="R410" s="1" t="s">
        <v>47</v>
      </c>
      <c r="S410" s="1" t="s">
        <v>47</v>
      </c>
      <c r="T410" s="1" t="s">
        <v>48</v>
      </c>
      <c r="U410" s="1" t="s">
        <v>47</v>
      </c>
      <c r="V410" s="1" t="s">
        <v>47</v>
      </c>
      <c r="W410" s="1" t="s">
        <v>47</v>
      </c>
      <c r="Z410" s="1">
        <v>0</v>
      </c>
      <c r="AB410" s="1" t="s">
        <v>47</v>
      </c>
      <c r="AD410" s="1">
        <v>526970</v>
      </c>
      <c r="AF410" s="1" t="s">
        <v>47</v>
      </c>
      <c r="AG410" s="1" t="s">
        <v>47</v>
      </c>
      <c r="AH410" s="1" t="s">
        <v>49</v>
      </c>
      <c r="AI410" s="1" t="s">
        <v>47</v>
      </c>
      <c r="AK410" s="1" t="s">
        <v>48</v>
      </c>
      <c r="AL410" s="1" t="s">
        <v>1382</v>
      </c>
    </row>
    <row r="411" spans="1:38">
      <c r="A411" s="1">
        <v>5137598</v>
      </c>
      <c r="B411" s="1" t="s">
        <v>1383</v>
      </c>
      <c r="C411" s="1" t="str">
        <f>"9780273719779"</f>
        <v>9780273719779</v>
      </c>
      <c r="D411" s="1" t="str">
        <f>"9780273719878"</f>
        <v>9780273719878</v>
      </c>
      <c r="E411" s="1" t="s">
        <v>52</v>
      </c>
      <c r="F411" s="1" t="s">
        <v>40</v>
      </c>
      <c r="G411" s="3">
        <v>41122</v>
      </c>
      <c r="H411" s="3">
        <v>1</v>
      </c>
      <c r="I411" s="1" t="s">
        <v>41</v>
      </c>
      <c r="J411" s="1">
        <v>4</v>
      </c>
      <c r="L411" s="1" t="s">
        <v>1384</v>
      </c>
      <c r="M411" s="1" t="s">
        <v>242</v>
      </c>
      <c r="O411" s="1">
        <v>510.24619999999999</v>
      </c>
      <c r="Q411" s="1" t="s">
        <v>46</v>
      </c>
      <c r="R411" s="1" t="s">
        <v>47</v>
      </c>
      <c r="S411" s="1" t="s">
        <v>47</v>
      </c>
      <c r="T411" s="1" t="s">
        <v>48</v>
      </c>
      <c r="U411" s="1" t="s">
        <v>47</v>
      </c>
      <c r="V411" s="1" t="s">
        <v>47</v>
      </c>
      <c r="W411" s="1" t="s">
        <v>47</v>
      </c>
      <c r="Z411" s="1">
        <v>0</v>
      </c>
      <c r="AB411" s="1" t="s">
        <v>47</v>
      </c>
      <c r="AD411" s="1">
        <v>399623</v>
      </c>
      <c r="AF411" s="1" t="s">
        <v>47</v>
      </c>
      <c r="AG411" s="1" t="s">
        <v>47</v>
      </c>
      <c r="AH411" s="1" t="s">
        <v>49</v>
      </c>
      <c r="AI411" s="1" t="s">
        <v>47</v>
      </c>
      <c r="AK411" s="1" t="s">
        <v>48</v>
      </c>
      <c r="AL411" s="1" t="s">
        <v>1385</v>
      </c>
    </row>
    <row r="412" spans="1:38">
      <c r="A412" s="1">
        <v>5137604</v>
      </c>
      <c r="B412" s="1" t="s">
        <v>1386</v>
      </c>
      <c r="C412" s="1" t="str">
        <f>"9781292026527"</f>
        <v>9781292026527</v>
      </c>
      <c r="D412" s="1" t="str">
        <f>"9781292038919"</f>
        <v>9781292038919</v>
      </c>
      <c r="E412" s="1" t="s">
        <v>52</v>
      </c>
      <c r="F412" s="1" t="s">
        <v>40</v>
      </c>
      <c r="G412" s="3">
        <v>41515</v>
      </c>
      <c r="H412" s="3">
        <v>1</v>
      </c>
      <c r="I412" s="1" t="s">
        <v>41</v>
      </c>
      <c r="J412" s="1">
        <v>3</v>
      </c>
      <c r="L412" s="1" t="s">
        <v>1387</v>
      </c>
      <c r="Q412" s="1" t="s">
        <v>46</v>
      </c>
      <c r="R412" s="1" t="s">
        <v>47</v>
      </c>
      <c r="S412" s="1" t="s">
        <v>47</v>
      </c>
      <c r="T412" s="1" t="s">
        <v>48</v>
      </c>
      <c r="U412" s="1" t="s">
        <v>47</v>
      </c>
      <c r="V412" s="1" t="s">
        <v>47</v>
      </c>
      <c r="W412" s="1" t="s">
        <v>47</v>
      </c>
      <c r="Z412" s="1">
        <v>0</v>
      </c>
      <c r="AB412" s="1" t="s">
        <v>47</v>
      </c>
      <c r="AD412" s="1">
        <v>527364</v>
      </c>
      <c r="AF412" s="1" t="s">
        <v>47</v>
      </c>
      <c r="AG412" s="1" t="s">
        <v>47</v>
      </c>
      <c r="AH412" s="1" t="s">
        <v>49</v>
      </c>
      <c r="AI412" s="1" t="s">
        <v>47</v>
      </c>
      <c r="AK412" s="1" t="s">
        <v>48</v>
      </c>
      <c r="AL412" s="1" t="s">
        <v>1388</v>
      </c>
    </row>
    <row r="413" spans="1:38">
      <c r="A413" s="1">
        <v>5137605</v>
      </c>
      <c r="B413" s="1" t="s">
        <v>1389</v>
      </c>
      <c r="C413" s="1" t="str">
        <f>"9781408266670"</f>
        <v>9781408266670</v>
      </c>
      <c r="D413" s="1" t="str">
        <f>"9781408266687"</f>
        <v>9781408266687</v>
      </c>
      <c r="E413" s="1" t="s">
        <v>52</v>
      </c>
      <c r="F413" s="1" t="s">
        <v>195</v>
      </c>
      <c r="G413" s="3">
        <v>40914</v>
      </c>
      <c r="H413" s="3">
        <v>1</v>
      </c>
      <c r="I413" s="1" t="s">
        <v>41</v>
      </c>
      <c r="J413" s="1">
        <v>1</v>
      </c>
      <c r="L413" s="1" t="s">
        <v>1390</v>
      </c>
      <c r="M413" s="1" t="s">
        <v>162</v>
      </c>
      <c r="O413" s="1">
        <v>347.42059999999998</v>
      </c>
      <c r="P413" s="1" t="s">
        <v>1391</v>
      </c>
      <c r="Q413" s="1" t="s">
        <v>46</v>
      </c>
      <c r="R413" s="1" t="s">
        <v>47</v>
      </c>
      <c r="S413" s="1" t="s">
        <v>47</v>
      </c>
      <c r="T413" s="1" t="s">
        <v>48</v>
      </c>
      <c r="U413" s="1" t="s">
        <v>47</v>
      </c>
      <c r="V413" s="1" t="s">
        <v>47</v>
      </c>
      <c r="W413" s="1" t="s">
        <v>47</v>
      </c>
      <c r="Z413" s="1">
        <v>0</v>
      </c>
      <c r="AB413" s="1" t="s">
        <v>47</v>
      </c>
      <c r="AD413" s="1">
        <v>369120</v>
      </c>
      <c r="AF413" s="1" t="s">
        <v>47</v>
      </c>
      <c r="AG413" s="1" t="s">
        <v>47</v>
      </c>
      <c r="AH413" s="1" t="s">
        <v>49</v>
      </c>
      <c r="AI413" s="1" t="s">
        <v>47</v>
      </c>
      <c r="AK413" s="1" t="s">
        <v>48</v>
      </c>
      <c r="AL413" s="1" t="s">
        <v>1392</v>
      </c>
    </row>
    <row r="414" spans="1:38">
      <c r="A414" s="1">
        <v>5137611</v>
      </c>
      <c r="B414" s="1" t="s">
        <v>1393</v>
      </c>
      <c r="C414" s="1" t="str">
        <f>"9780273774662"</f>
        <v>9780273774662</v>
      </c>
      <c r="D414" s="1" t="str">
        <f>"9780273774716"</f>
        <v>9780273774716</v>
      </c>
      <c r="E414" s="1" t="s">
        <v>52</v>
      </c>
      <c r="F414" s="1" t="s">
        <v>40</v>
      </c>
      <c r="G414" s="3">
        <v>41456</v>
      </c>
      <c r="H414" s="3">
        <v>1</v>
      </c>
      <c r="I414" s="1" t="s">
        <v>41</v>
      </c>
      <c r="J414" s="1">
        <v>1</v>
      </c>
      <c r="L414" s="1" t="s">
        <v>1394</v>
      </c>
      <c r="M414" s="1" t="s">
        <v>256</v>
      </c>
      <c r="N414" s="1" t="s">
        <v>1395</v>
      </c>
      <c r="O414" s="1">
        <v>332.45</v>
      </c>
      <c r="P414" s="1" t="s">
        <v>1396</v>
      </c>
      <c r="Q414" s="1" t="s">
        <v>46</v>
      </c>
      <c r="R414" s="1" t="s">
        <v>47</v>
      </c>
      <c r="S414" s="1" t="s">
        <v>47</v>
      </c>
      <c r="T414" s="1" t="s">
        <v>48</v>
      </c>
      <c r="U414" s="1" t="s">
        <v>47</v>
      </c>
      <c r="V414" s="1" t="s">
        <v>47</v>
      </c>
      <c r="W414" s="1" t="s">
        <v>47</v>
      </c>
      <c r="Z414" s="1">
        <v>0</v>
      </c>
      <c r="AB414" s="1" t="s">
        <v>47</v>
      </c>
      <c r="AD414" s="1">
        <v>502437</v>
      </c>
      <c r="AF414" s="1" t="s">
        <v>47</v>
      </c>
      <c r="AG414" s="1" t="s">
        <v>47</v>
      </c>
      <c r="AH414" s="1" t="s">
        <v>49</v>
      </c>
      <c r="AI414" s="1" t="s">
        <v>47</v>
      </c>
      <c r="AK414" s="1" t="s">
        <v>48</v>
      </c>
      <c r="AL414" s="1" t="s">
        <v>1397</v>
      </c>
    </row>
    <row r="415" spans="1:38">
      <c r="A415" s="1">
        <v>5137612</v>
      </c>
      <c r="B415" s="1" t="s">
        <v>1398</v>
      </c>
      <c r="C415" s="1" t="str">
        <f>"9781292026886"</f>
        <v>9781292026886</v>
      </c>
      <c r="D415" s="1" t="str">
        <f>"9781292052571"</f>
        <v>9781292052571</v>
      </c>
      <c r="E415" s="1" t="s">
        <v>52</v>
      </c>
      <c r="F415" s="1" t="s">
        <v>40</v>
      </c>
      <c r="G415" s="3">
        <v>41579</v>
      </c>
      <c r="H415" s="3">
        <v>1</v>
      </c>
      <c r="I415" s="1" t="s">
        <v>41</v>
      </c>
      <c r="J415" s="1">
        <v>11</v>
      </c>
      <c r="L415" s="1" t="s">
        <v>1399</v>
      </c>
      <c r="M415" s="1" t="s">
        <v>1400</v>
      </c>
      <c r="O415" s="1">
        <v>320</v>
      </c>
      <c r="Q415" s="1" t="s">
        <v>46</v>
      </c>
      <c r="R415" s="1" t="s">
        <v>47</v>
      </c>
      <c r="S415" s="1" t="s">
        <v>47</v>
      </c>
      <c r="T415" s="1" t="s">
        <v>48</v>
      </c>
      <c r="U415" s="1" t="s">
        <v>47</v>
      </c>
      <c r="V415" s="1" t="s">
        <v>47</v>
      </c>
      <c r="W415" s="1" t="s">
        <v>47</v>
      </c>
      <c r="Z415" s="1">
        <v>0</v>
      </c>
      <c r="AB415" s="1" t="s">
        <v>47</v>
      </c>
      <c r="AD415" s="1">
        <v>543602</v>
      </c>
      <c r="AF415" s="1" t="s">
        <v>47</v>
      </c>
      <c r="AG415" s="1" t="s">
        <v>47</v>
      </c>
      <c r="AH415" s="1" t="s">
        <v>49</v>
      </c>
      <c r="AI415" s="1" t="s">
        <v>47</v>
      </c>
      <c r="AK415" s="1" t="s">
        <v>48</v>
      </c>
      <c r="AL415" s="1" t="s">
        <v>1401</v>
      </c>
    </row>
    <row r="416" spans="1:38">
      <c r="A416" s="1">
        <v>5137623</v>
      </c>
      <c r="B416" s="1" t="s">
        <v>1247</v>
      </c>
      <c r="C416" s="1" t="str">
        <f>"9780273723073"</f>
        <v>9780273723073</v>
      </c>
      <c r="D416" s="1" t="str">
        <f>"9780273723110"</f>
        <v>9780273723110</v>
      </c>
      <c r="E416" s="1" t="s">
        <v>52</v>
      </c>
      <c r="F416" s="1" t="s">
        <v>40</v>
      </c>
      <c r="G416" s="3">
        <v>41000</v>
      </c>
      <c r="H416" s="3">
        <v>1</v>
      </c>
      <c r="I416" s="1" t="s">
        <v>41</v>
      </c>
      <c r="J416" s="1">
        <v>1</v>
      </c>
      <c r="L416" s="1" t="s">
        <v>1402</v>
      </c>
      <c r="M416" s="1" t="s">
        <v>59</v>
      </c>
      <c r="N416" s="1" t="s">
        <v>1403</v>
      </c>
      <c r="O416" s="1">
        <v>657</v>
      </c>
      <c r="P416" s="1" t="s">
        <v>1404</v>
      </c>
      <c r="Q416" s="1" t="s">
        <v>46</v>
      </c>
      <c r="R416" s="1" t="s">
        <v>47</v>
      </c>
      <c r="S416" s="1" t="s">
        <v>47</v>
      </c>
      <c r="T416" s="1" t="s">
        <v>48</v>
      </c>
      <c r="U416" s="1" t="s">
        <v>47</v>
      </c>
      <c r="V416" s="1" t="s">
        <v>47</v>
      </c>
      <c r="W416" s="1" t="s">
        <v>47</v>
      </c>
      <c r="Z416" s="1">
        <v>0</v>
      </c>
      <c r="AB416" s="1" t="s">
        <v>47</v>
      </c>
      <c r="AD416" s="1">
        <v>385402</v>
      </c>
      <c r="AF416" s="1" t="s">
        <v>47</v>
      </c>
      <c r="AG416" s="1" t="s">
        <v>47</v>
      </c>
      <c r="AH416" s="1" t="s">
        <v>49</v>
      </c>
      <c r="AI416" s="1" t="s">
        <v>47</v>
      </c>
      <c r="AK416" s="1" t="s">
        <v>48</v>
      </c>
      <c r="AL416" s="1" t="s">
        <v>1405</v>
      </c>
    </row>
    <row r="417" spans="1:38">
      <c r="A417" s="1">
        <v>5137625</v>
      </c>
      <c r="B417" s="1" t="s">
        <v>1406</v>
      </c>
      <c r="C417" s="1" t="str">
        <f>"9781292021928"</f>
        <v>9781292021928</v>
      </c>
      <c r="D417" s="1" t="str">
        <f>"9781292035130"</f>
        <v>9781292035130</v>
      </c>
      <c r="E417" s="1" t="s">
        <v>52</v>
      </c>
      <c r="F417" s="1" t="s">
        <v>40</v>
      </c>
      <c r="G417" s="3">
        <v>41484</v>
      </c>
      <c r="H417" s="3">
        <v>1</v>
      </c>
      <c r="I417" s="1" t="s">
        <v>41</v>
      </c>
      <c r="J417" s="1">
        <v>6</v>
      </c>
      <c r="L417" s="1" t="s">
        <v>1407</v>
      </c>
      <c r="M417" s="1" t="s">
        <v>54</v>
      </c>
      <c r="O417" s="1">
        <v>371.95</v>
      </c>
      <c r="Q417" s="1" t="s">
        <v>46</v>
      </c>
      <c r="R417" s="1" t="s">
        <v>47</v>
      </c>
      <c r="S417" s="1" t="s">
        <v>47</v>
      </c>
      <c r="T417" s="1" t="s">
        <v>48</v>
      </c>
      <c r="U417" s="1" t="s">
        <v>47</v>
      </c>
      <c r="V417" s="1" t="s">
        <v>47</v>
      </c>
      <c r="W417" s="1" t="s">
        <v>47</v>
      </c>
      <c r="Z417" s="1">
        <v>0</v>
      </c>
      <c r="AB417" s="1" t="s">
        <v>47</v>
      </c>
      <c r="AF417" s="1" t="s">
        <v>47</v>
      </c>
      <c r="AG417" s="1" t="s">
        <v>47</v>
      </c>
      <c r="AH417" s="1" t="s">
        <v>49</v>
      </c>
      <c r="AI417" s="1" t="s">
        <v>47</v>
      </c>
      <c r="AK417" s="1" t="s">
        <v>48</v>
      </c>
      <c r="AL417" s="1" t="s">
        <v>1408</v>
      </c>
    </row>
    <row r="418" spans="1:38">
      <c r="A418" s="1">
        <v>5137626</v>
      </c>
      <c r="B418" s="1" t="s">
        <v>1409</v>
      </c>
      <c r="C418" s="1" t="str">
        <f>"9780273783398"</f>
        <v>9780273783398</v>
      </c>
      <c r="D418" s="1" t="str">
        <f>"9780273783428"</f>
        <v>9780273783428</v>
      </c>
      <c r="E418" s="1" t="s">
        <v>52</v>
      </c>
      <c r="F418" s="1" t="s">
        <v>40</v>
      </c>
      <c r="G418" s="3">
        <v>41501</v>
      </c>
      <c r="H418" s="3">
        <v>1</v>
      </c>
      <c r="I418" s="1" t="s">
        <v>41</v>
      </c>
      <c r="J418" s="1">
        <v>2</v>
      </c>
      <c r="L418" s="1" t="s">
        <v>1410</v>
      </c>
      <c r="M418" s="1" t="s">
        <v>162</v>
      </c>
      <c r="O418" s="1">
        <v>342.42084999999997</v>
      </c>
      <c r="Q418" s="1" t="s">
        <v>46</v>
      </c>
      <c r="R418" s="1" t="s">
        <v>47</v>
      </c>
      <c r="S418" s="1" t="s">
        <v>47</v>
      </c>
      <c r="T418" s="1" t="s">
        <v>48</v>
      </c>
      <c r="U418" s="1" t="s">
        <v>47</v>
      </c>
      <c r="V418" s="1" t="s">
        <v>47</v>
      </c>
      <c r="W418" s="1" t="s">
        <v>47</v>
      </c>
      <c r="Z418" s="1">
        <v>0</v>
      </c>
      <c r="AB418" s="1" t="s">
        <v>47</v>
      </c>
      <c r="AD418" s="1">
        <v>492437</v>
      </c>
      <c r="AF418" s="1" t="s">
        <v>47</v>
      </c>
      <c r="AG418" s="1" t="s">
        <v>47</v>
      </c>
      <c r="AH418" s="1" t="s">
        <v>49</v>
      </c>
      <c r="AI418" s="1" t="s">
        <v>47</v>
      </c>
      <c r="AK418" s="1" t="s">
        <v>48</v>
      </c>
      <c r="AL418" s="1" t="s">
        <v>1411</v>
      </c>
    </row>
    <row r="419" spans="1:38">
      <c r="A419" s="1">
        <v>5137628</v>
      </c>
      <c r="B419" s="1" t="s">
        <v>1412</v>
      </c>
      <c r="C419" s="1" t="str">
        <f>"9781292027647"</f>
        <v>9781292027647</v>
      </c>
      <c r="D419" s="1" t="str">
        <f>"9781292052588"</f>
        <v>9781292052588</v>
      </c>
      <c r="E419" s="1" t="s">
        <v>52</v>
      </c>
      <c r="F419" s="1" t="s">
        <v>40</v>
      </c>
      <c r="G419" s="3">
        <v>41512</v>
      </c>
      <c r="H419" s="3">
        <v>1</v>
      </c>
      <c r="I419" s="1" t="s">
        <v>41</v>
      </c>
      <c r="J419" s="1">
        <v>1</v>
      </c>
      <c r="L419" s="1" t="s">
        <v>1413</v>
      </c>
      <c r="M419" s="1" t="s">
        <v>100</v>
      </c>
      <c r="O419" s="1">
        <v>150.72</v>
      </c>
      <c r="Q419" s="1" t="s">
        <v>46</v>
      </c>
      <c r="R419" s="1" t="s">
        <v>47</v>
      </c>
      <c r="S419" s="1" t="s">
        <v>47</v>
      </c>
      <c r="T419" s="1" t="s">
        <v>48</v>
      </c>
      <c r="U419" s="1" t="s">
        <v>47</v>
      </c>
      <c r="V419" s="1" t="s">
        <v>47</v>
      </c>
      <c r="W419" s="1" t="s">
        <v>47</v>
      </c>
      <c r="Z419" s="1">
        <v>0</v>
      </c>
      <c r="AB419" s="1" t="s">
        <v>47</v>
      </c>
      <c r="AD419" s="1">
        <v>543455</v>
      </c>
      <c r="AF419" s="1" t="s">
        <v>47</v>
      </c>
      <c r="AG419" s="1" t="s">
        <v>47</v>
      </c>
      <c r="AH419" s="1" t="s">
        <v>49</v>
      </c>
      <c r="AI419" s="1" t="s">
        <v>47</v>
      </c>
      <c r="AK419" s="1" t="s">
        <v>48</v>
      </c>
      <c r="AL419" s="1" t="s">
        <v>1414</v>
      </c>
    </row>
    <row r="420" spans="1:38">
      <c r="A420" s="1">
        <v>5137637</v>
      </c>
      <c r="B420" s="1" t="s">
        <v>1415</v>
      </c>
      <c r="C420" s="1" t="str">
        <f>"9781292022451"</f>
        <v>9781292022451</v>
      </c>
      <c r="D420" s="1" t="str">
        <f>"9781292035659"</f>
        <v>9781292035659</v>
      </c>
      <c r="E420" s="1" t="s">
        <v>52</v>
      </c>
      <c r="F420" s="1" t="s">
        <v>40</v>
      </c>
      <c r="G420" s="3">
        <v>41514</v>
      </c>
      <c r="H420" s="3">
        <v>1</v>
      </c>
      <c r="I420" s="1" t="s">
        <v>41</v>
      </c>
      <c r="J420" s="1">
        <v>3</v>
      </c>
      <c r="L420" s="1" t="s">
        <v>1416</v>
      </c>
      <c r="Q420" s="1" t="s">
        <v>46</v>
      </c>
      <c r="R420" s="1" t="s">
        <v>47</v>
      </c>
      <c r="S420" s="1" t="s">
        <v>47</v>
      </c>
      <c r="T420" s="1" t="s">
        <v>48</v>
      </c>
      <c r="U420" s="1" t="s">
        <v>47</v>
      </c>
      <c r="V420" s="1" t="s">
        <v>47</v>
      </c>
      <c r="W420" s="1" t="s">
        <v>47</v>
      </c>
      <c r="Z420" s="1">
        <v>0</v>
      </c>
      <c r="AB420" s="1" t="s">
        <v>47</v>
      </c>
      <c r="AD420" s="1">
        <v>526992</v>
      </c>
      <c r="AF420" s="1" t="s">
        <v>47</v>
      </c>
      <c r="AG420" s="1" t="s">
        <v>47</v>
      </c>
      <c r="AH420" s="1" t="s">
        <v>49</v>
      </c>
      <c r="AI420" s="1" t="s">
        <v>47</v>
      </c>
      <c r="AK420" s="1" t="s">
        <v>48</v>
      </c>
      <c r="AL420" s="1" t="s">
        <v>1417</v>
      </c>
    </row>
    <row r="421" spans="1:38">
      <c r="A421" s="1">
        <v>5137638</v>
      </c>
      <c r="B421" s="1" t="s">
        <v>1418</v>
      </c>
      <c r="C421" s="1" t="str">
        <f>"9781292022505"</f>
        <v>9781292022505</v>
      </c>
      <c r="D421" s="1" t="str">
        <f>"9781292035703"</f>
        <v>9781292035703</v>
      </c>
      <c r="E421" s="1" t="s">
        <v>52</v>
      </c>
      <c r="F421" s="1" t="s">
        <v>40</v>
      </c>
      <c r="G421" s="3">
        <v>41484</v>
      </c>
      <c r="H421" s="3">
        <v>1</v>
      </c>
      <c r="I421" s="1" t="s">
        <v>41</v>
      </c>
      <c r="J421" s="1">
        <v>4</v>
      </c>
      <c r="L421" s="1" t="s">
        <v>1419</v>
      </c>
      <c r="M421" s="1" t="s">
        <v>242</v>
      </c>
      <c r="N421" s="1" t="s">
        <v>1420</v>
      </c>
      <c r="O421" s="1">
        <v>519.5</v>
      </c>
      <c r="Q421" s="1" t="s">
        <v>46</v>
      </c>
      <c r="R421" s="1" t="s">
        <v>47</v>
      </c>
      <c r="S421" s="1" t="s">
        <v>47</v>
      </c>
      <c r="T421" s="1" t="s">
        <v>48</v>
      </c>
      <c r="U421" s="1" t="s">
        <v>47</v>
      </c>
      <c r="V421" s="1" t="s">
        <v>47</v>
      </c>
      <c r="W421" s="1" t="s">
        <v>47</v>
      </c>
      <c r="Z421" s="1">
        <v>0</v>
      </c>
      <c r="AB421" s="1" t="s">
        <v>47</v>
      </c>
      <c r="AD421" s="1">
        <v>527396</v>
      </c>
      <c r="AF421" s="1" t="s">
        <v>47</v>
      </c>
      <c r="AG421" s="1" t="s">
        <v>47</v>
      </c>
      <c r="AH421" s="1" t="s">
        <v>49</v>
      </c>
      <c r="AI421" s="1" t="s">
        <v>47</v>
      </c>
      <c r="AK421" s="1" t="s">
        <v>48</v>
      </c>
      <c r="AL421" s="1" t="s">
        <v>1421</v>
      </c>
    </row>
    <row r="422" spans="1:38">
      <c r="A422" s="1">
        <v>5137641</v>
      </c>
      <c r="B422" s="1" t="s">
        <v>1422</v>
      </c>
      <c r="C422" s="1" t="str">
        <f>"9780273731184"</f>
        <v>9780273731184</v>
      </c>
      <c r="D422" s="1" t="str">
        <f>"9780273731191"</f>
        <v>9780273731191</v>
      </c>
      <c r="E422" s="1" t="s">
        <v>52</v>
      </c>
      <c r="F422" s="1" t="s">
        <v>157</v>
      </c>
      <c r="G422" s="3">
        <v>40544</v>
      </c>
      <c r="H422" s="3">
        <v>1</v>
      </c>
      <c r="I422" s="1" t="s">
        <v>41</v>
      </c>
      <c r="J422" s="1">
        <v>2</v>
      </c>
      <c r="L422" s="1" t="s">
        <v>1423</v>
      </c>
      <c r="M422" s="1" t="s">
        <v>414</v>
      </c>
      <c r="N422" s="1" t="s">
        <v>1424</v>
      </c>
      <c r="O422" s="1">
        <v>542</v>
      </c>
      <c r="Q422" s="1" t="s">
        <v>46</v>
      </c>
      <c r="R422" s="1" t="s">
        <v>47</v>
      </c>
      <c r="S422" s="1" t="s">
        <v>47</v>
      </c>
      <c r="T422" s="1" t="s">
        <v>48</v>
      </c>
      <c r="U422" s="1" t="s">
        <v>47</v>
      </c>
      <c r="V422" s="1" t="s">
        <v>47</v>
      </c>
      <c r="W422" s="1" t="s">
        <v>47</v>
      </c>
      <c r="Z422" s="1">
        <v>0</v>
      </c>
      <c r="AB422" s="1" t="s">
        <v>47</v>
      </c>
      <c r="AD422" s="1">
        <v>317322</v>
      </c>
      <c r="AF422" s="1" t="s">
        <v>47</v>
      </c>
      <c r="AG422" s="1" t="s">
        <v>47</v>
      </c>
      <c r="AH422" s="1" t="s">
        <v>49</v>
      </c>
      <c r="AI422" s="1" t="s">
        <v>47</v>
      </c>
      <c r="AK422" s="1" t="s">
        <v>48</v>
      </c>
      <c r="AL422" s="1" t="s">
        <v>1425</v>
      </c>
    </row>
    <row r="423" spans="1:38">
      <c r="A423" s="1">
        <v>5137642</v>
      </c>
      <c r="B423" s="1" t="s">
        <v>1426</v>
      </c>
      <c r="C423" s="1" t="str">
        <f>"9781408236987"</f>
        <v>9781408236987</v>
      </c>
      <c r="D423" s="1" t="str">
        <f>"9781408237014"</f>
        <v>9781408237014</v>
      </c>
      <c r="E423" s="1" t="s">
        <v>52</v>
      </c>
      <c r="F423" s="1" t="s">
        <v>195</v>
      </c>
      <c r="G423" s="3">
        <v>40297</v>
      </c>
      <c r="H423" s="3">
        <v>1</v>
      </c>
      <c r="I423" s="1" t="s">
        <v>41</v>
      </c>
      <c r="J423" s="1">
        <v>1</v>
      </c>
      <c r="L423" s="1" t="s">
        <v>1427</v>
      </c>
      <c r="M423" s="1" t="s">
        <v>1107</v>
      </c>
      <c r="N423" s="1" t="s">
        <v>1428</v>
      </c>
      <c r="O423" s="1">
        <v>808.02</v>
      </c>
      <c r="P423" s="1" t="s">
        <v>1429</v>
      </c>
      <c r="Q423" s="1" t="s">
        <v>46</v>
      </c>
      <c r="R423" s="1" t="s">
        <v>47</v>
      </c>
      <c r="S423" s="1" t="s">
        <v>47</v>
      </c>
      <c r="T423" s="1" t="s">
        <v>48</v>
      </c>
      <c r="U423" s="1" t="s">
        <v>47</v>
      </c>
      <c r="V423" s="1" t="s">
        <v>47</v>
      </c>
      <c r="W423" s="1" t="s">
        <v>47</v>
      </c>
      <c r="Z423" s="1">
        <v>0</v>
      </c>
      <c r="AB423" s="1" t="s">
        <v>47</v>
      </c>
      <c r="AD423" s="1">
        <v>404638</v>
      </c>
      <c r="AF423" s="1" t="s">
        <v>47</v>
      </c>
      <c r="AG423" s="1" t="s">
        <v>47</v>
      </c>
      <c r="AH423" s="1" t="s">
        <v>49</v>
      </c>
      <c r="AI423" s="1" t="s">
        <v>47</v>
      </c>
      <c r="AK423" s="1" t="s">
        <v>48</v>
      </c>
      <c r="AL423" s="1" t="s">
        <v>1430</v>
      </c>
    </row>
    <row r="424" spans="1:38">
      <c r="A424" s="1">
        <v>5137643</v>
      </c>
      <c r="B424" s="1" t="s">
        <v>1431</v>
      </c>
      <c r="C424" s="1" t="str">
        <f>"9781408236970"</f>
        <v>9781408236970</v>
      </c>
      <c r="D424" s="1" t="str">
        <f>"9781408237007"</f>
        <v>9781408237007</v>
      </c>
      <c r="E424" s="1" t="s">
        <v>52</v>
      </c>
      <c r="F424" s="1" t="s">
        <v>195</v>
      </c>
      <c r="G424" s="3">
        <v>40422</v>
      </c>
      <c r="H424" s="3">
        <v>1</v>
      </c>
      <c r="I424" s="1" t="s">
        <v>41</v>
      </c>
      <c r="J424" s="1">
        <v>1</v>
      </c>
      <c r="L424" s="1" t="s">
        <v>1432</v>
      </c>
      <c r="M424" s="1" t="s">
        <v>1433</v>
      </c>
      <c r="N424" s="1" t="s">
        <v>1434</v>
      </c>
      <c r="O424" s="1">
        <v>160</v>
      </c>
      <c r="P424" s="1" t="s">
        <v>1435</v>
      </c>
      <c r="Q424" s="1" t="s">
        <v>46</v>
      </c>
      <c r="R424" s="1" t="s">
        <v>47</v>
      </c>
      <c r="S424" s="1" t="s">
        <v>47</v>
      </c>
      <c r="T424" s="1" t="s">
        <v>48</v>
      </c>
      <c r="U424" s="1" t="s">
        <v>47</v>
      </c>
      <c r="V424" s="1" t="s">
        <v>47</v>
      </c>
      <c r="W424" s="1" t="s">
        <v>47</v>
      </c>
      <c r="Z424" s="1">
        <v>0</v>
      </c>
      <c r="AB424" s="1" t="s">
        <v>47</v>
      </c>
      <c r="AD424" s="1">
        <v>404639</v>
      </c>
      <c r="AF424" s="1" t="s">
        <v>47</v>
      </c>
      <c r="AG424" s="1" t="s">
        <v>47</v>
      </c>
      <c r="AH424" s="1" t="s">
        <v>49</v>
      </c>
      <c r="AI424" s="1" t="s">
        <v>47</v>
      </c>
      <c r="AK424" s="1" t="s">
        <v>48</v>
      </c>
      <c r="AL424" s="1" t="s">
        <v>1436</v>
      </c>
    </row>
    <row r="425" spans="1:38">
      <c r="A425" s="1">
        <v>5137644</v>
      </c>
      <c r="B425" s="1" t="s">
        <v>1437</v>
      </c>
      <c r="C425" s="1" t="str">
        <f>"9781292022840"</f>
        <v>9781292022840</v>
      </c>
      <c r="D425" s="1" t="str">
        <f>"9781292036038"</f>
        <v>9781292036038</v>
      </c>
      <c r="E425" s="1" t="s">
        <v>52</v>
      </c>
      <c r="F425" s="1" t="s">
        <v>40</v>
      </c>
      <c r="G425" s="3">
        <v>41492</v>
      </c>
      <c r="H425" s="3">
        <v>1</v>
      </c>
      <c r="I425" s="1" t="s">
        <v>41</v>
      </c>
      <c r="J425" s="1">
        <v>7</v>
      </c>
      <c r="L425" s="1" t="s">
        <v>1438</v>
      </c>
      <c r="M425" s="1" t="s">
        <v>468</v>
      </c>
      <c r="O425" s="1">
        <v>174.4</v>
      </c>
      <c r="Q425" s="1" t="s">
        <v>46</v>
      </c>
      <c r="R425" s="1" t="s">
        <v>47</v>
      </c>
      <c r="S425" s="1" t="s">
        <v>47</v>
      </c>
      <c r="T425" s="1" t="s">
        <v>48</v>
      </c>
      <c r="U425" s="1" t="s">
        <v>47</v>
      </c>
      <c r="V425" s="1" t="s">
        <v>47</v>
      </c>
      <c r="W425" s="1" t="s">
        <v>47</v>
      </c>
      <c r="Z425" s="1">
        <v>0</v>
      </c>
      <c r="AB425" s="1" t="s">
        <v>47</v>
      </c>
      <c r="AD425" s="1">
        <v>527318</v>
      </c>
      <c r="AF425" s="1" t="s">
        <v>47</v>
      </c>
      <c r="AG425" s="1" t="s">
        <v>47</v>
      </c>
      <c r="AH425" s="1" t="s">
        <v>49</v>
      </c>
      <c r="AI425" s="1" t="s">
        <v>47</v>
      </c>
      <c r="AK425" s="1" t="s">
        <v>48</v>
      </c>
      <c r="AL425" s="1" t="s">
        <v>1439</v>
      </c>
    </row>
    <row r="426" spans="1:38">
      <c r="A426" s="1">
        <v>5137645</v>
      </c>
      <c r="B426" s="1" t="s">
        <v>1440</v>
      </c>
      <c r="C426" s="1" t="str">
        <f>"9781292025049"</f>
        <v>9781292025049</v>
      </c>
      <c r="D426" s="1" t="str">
        <f>"9781292037677"</f>
        <v>9781292037677</v>
      </c>
      <c r="E426" s="1" t="s">
        <v>52</v>
      </c>
      <c r="F426" s="1" t="s">
        <v>40</v>
      </c>
      <c r="G426" s="3">
        <v>41485</v>
      </c>
      <c r="H426" s="3">
        <v>1</v>
      </c>
      <c r="I426" s="1" t="s">
        <v>41</v>
      </c>
      <c r="J426" s="1">
        <v>4</v>
      </c>
      <c r="L426" s="1" t="s">
        <v>1441</v>
      </c>
      <c r="M426" s="1" t="s">
        <v>242</v>
      </c>
      <c r="O426" s="1">
        <v>519.20000000000005</v>
      </c>
      <c r="Q426" s="1" t="s">
        <v>46</v>
      </c>
      <c r="R426" s="1" t="s">
        <v>47</v>
      </c>
      <c r="S426" s="1" t="s">
        <v>47</v>
      </c>
      <c r="T426" s="1" t="s">
        <v>48</v>
      </c>
      <c r="U426" s="1" t="s">
        <v>47</v>
      </c>
      <c r="V426" s="1" t="s">
        <v>47</v>
      </c>
      <c r="W426" s="1" t="s">
        <v>47</v>
      </c>
      <c r="Z426" s="1">
        <v>0</v>
      </c>
      <c r="AB426" s="1" t="s">
        <v>47</v>
      </c>
      <c r="AD426" s="1">
        <v>527213</v>
      </c>
      <c r="AF426" s="1" t="s">
        <v>47</v>
      </c>
      <c r="AG426" s="1" t="s">
        <v>47</v>
      </c>
      <c r="AH426" s="1" t="s">
        <v>49</v>
      </c>
      <c r="AI426" s="1" t="s">
        <v>47</v>
      </c>
      <c r="AK426" s="1" t="s">
        <v>48</v>
      </c>
      <c r="AL426" s="1" t="s">
        <v>1442</v>
      </c>
    </row>
    <row r="427" spans="1:38">
      <c r="A427" s="1">
        <v>5137654</v>
      </c>
      <c r="B427" s="1" t="s">
        <v>1443</v>
      </c>
      <c r="C427" s="1" t="str">
        <f>"9781292039725"</f>
        <v>9781292039725</v>
      </c>
      <c r="D427" s="1" t="str">
        <f>"9781292052625"</f>
        <v>9781292052625</v>
      </c>
      <c r="E427" s="1" t="s">
        <v>52</v>
      </c>
      <c r="F427" s="1" t="s">
        <v>40</v>
      </c>
      <c r="G427" s="3">
        <v>41515</v>
      </c>
      <c r="H427" s="3">
        <v>1</v>
      </c>
      <c r="I427" s="1" t="s">
        <v>41</v>
      </c>
      <c r="J427" s="1">
        <v>1</v>
      </c>
      <c r="L427" s="1" t="s">
        <v>1444</v>
      </c>
      <c r="M427" s="1" t="s">
        <v>372</v>
      </c>
      <c r="O427" s="1">
        <v>303.69</v>
      </c>
      <c r="Q427" s="1" t="s">
        <v>46</v>
      </c>
      <c r="R427" s="1" t="s">
        <v>47</v>
      </c>
      <c r="S427" s="1" t="s">
        <v>47</v>
      </c>
      <c r="T427" s="1" t="s">
        <v>48</v>
      </c>
      <c r="U427" s="1" t="s">
        <v>47</v>
      </c>
      <c r="V427" s="1" t="s">
        <v>47</v>
      </c>
      <c r="W427" s="1" t="s">
        <v>47</v>
      </c>
      <c r="Z427" s="1">
        <v>0</v>
      </c>
      <c r="AB427" s="1" t="s">
        <v>47</v>
      </c>
      <c r="AD427" s="1">
        <v>543516</v>
      </c>
      <c r="AF427" s="1" t="s">
        <v>47</v>
      </c>
      <c r="AG427" s="1" t="s">
        <v>47</v>
      </c>
      <c r="AH427" s="1" t="s">
        <v>49</v>
      </c>
      <c r="AI427" s="1" t="s">
        <v>47</v>
      </c>
      <c r="AK427" s="1" t="s">
        <v>48</v>
      </c>
      <c r="AL427" s="1" t="s">
        <v>1445</v>
      </c>
    </row>
    <row r="428" spans="1:38">
      <c r="A428" s="1">
        <v>5137670</v>
      </c>
      <c r="B428" s="1" t="s">
        <v>1446</v>
      </c>
      <c r="C428" s="1" t="str">
        <f>"9780273744887"</f>
        <v>9780273744887</v>
      </c>
      <c r="D428" s="1" t="str">
        <f>"9780273744894"</f>
        <v>9780273744894</v>
      </c>
      <c r="E428" s="1" t="s">
        <v>52</v>
      </c>
      <c r="F428" s="1" t="s">
        <v>157</v>
      </c>
      <c r="G428" s="3">
        <v>41215</v>
      </c>
      <c r="H428" s="3">
        <v>1</v>
      </c>
      <c r="I428" s="1" t="s">
        <v>41</v>
      </c>
      <c r="J428" s="1">
        <v>1</v>
      </c>
      <c r="L428" s="1" t="s">
        <v>1447</v>
      </c>
      <c r="M428" s="1" t="s">
        <v>59</v>
      </c>
      <c r="N428" s="1" t="s">
        <v>1448</v>
      </c>
      <c r="O428" s="1">
        <v>650.14</v>
      </c>
      <c r="Q428" s="1" t="s">
        <v>46</v>
      </c>
      <c r="R428" s="1" t="s">
        <v>47</v>
      </c>
      <c r="S428" s="1" t="s">
        <v>47</v>
      </c>
      <c r="T428" s="1" t="s">
        <v>48</v>
      </c>
      <c r="U428" s="1" t="s">
        <v>47</v>
      </c>
      <c r="V428" s="1" t="s">
        <v>47</v>
      </c>
      <c r="W428" s="1" t="s">
        <v>47</v>
      </c>
      <c r="Z428" s="1">
        <v>0</v>
      </c>
      <c r="AB428" s="1" t="s">
        <v>47</v>
      </c>
      <c r="AD428" s="1">
        <v>404613</v>
      </c>
      <c r="AF428" s="1" t="s">
        <v>47</v>
      </c>
      <c r="AG428" s="1" t="s">
        <v>47</v>
      </c>
      <c r="AH428" s="1" t="s">
        <v>49</v>
      </c>
      <c r="AI428" s="1" t="s">
        <v>47</v>
      </c>
      <c r="AK428" s="1" t="s">
        <v>48</v>
      </c>
      <c r="AL428" s="1" t="s">
        <v>1449</v>
      </c>
    </row>
    <row r="429" spans="1:38">
      <c r="A429" s="1">
        <v>5137671</v>
      </c>
      <c r="B429" s="1" t="s">
        <v>1446</v>
      </c>
      <c r="C429" s="1" t="str">
        <f>"9781447921998"</f>
        <v>9781447921998</v>
      </c>
      <c r="D429" s="1" t="str">
        <f>"9781447922223"</f>
        <v>9781447922223</v>
      </c>
      <c r="E429" s="1" t="s">
        <v>52</v>
      </c>
      <c r="F429" s="1" t="s">
        <v>40</v>
      </c>
      <c r="G429" s="3">
        <v>41523</v>
      </c>
      <c r="H429" s="3">
        <v>1</v>
      </c>
      <c r="I429" s="1" t="s">
        <v>41</v>
      </c>
      <c r="J429" s="1">
        <v>2</v>
      </c>
      <c r="L429" s="1" t="s">
        <v>1447</v>
      </c>
      <c r="M429" s="1" t="s">
        <v>59</v>
      </c>
      <c r="N429" s="1" t="s">
        <v>1448</v>
      </c>
      <c r="O429" s="1">
        <v>650.14</v>
      </c>
      <c r="Q429" s="1" t="s">
        <v>46</v>
      </c>
      <c r="R429" s="1" t="s">
        <v>47</v>
      </c>
      <c r="S429" s="1" t="s">
        <v>47</v>
      </c>
      <c r="T429" s="1" t="s">
        <v>48</v>
      </c>
      <c r="U429" s="1" t="s">
        <v>47</v>
      </c>
      <c r="V429" s="1" t="s">
        <v>47</v>
      </c>
      <c r="W429" s="1" t="s">
        <v>47</v>
      </c>
      <c r="Z429" s="1">
        <v>0</v>
      </c>
      <c r="AB429" s="1" t="s">
        <v>47</v>
      </c>
      <c r="AD429" s="1">
        <v>515964</v>
      </c>
      <c r="AF429" s="1" t="s">
        <v>47</v>
      </c>
      <c r="AG429" s="1" t="s">
        <v>47</v>
      </c>
      <c r="AH429" s="1" t="s">
        <v>49</v>
      </c>
      <c r="AI429" s="1" t="s">
        <v>47</v>
      </c>
      <c r="AK429" s="1" t="s">
        <v>48</v>
      </c>
      <c r="AL429" s="1" t="s">
        <v>1450</v>
      </c>
    </row>
    <row r="430" spans="1:38">
      <c r="A430" s="1">
        <v>5137675</v>
      </c>
      <c r="B430" s="1" t="s">
        <v>1451</v>
      </c>
      <c r="C430" s="1" t="str">
        <f>""</f>
        <v/>
      </c>
      <c r="D430" s="1" t="str">
        <f>"9780273782568"</f>
        <v>9780273782568</v>
      </c>
      <c r="E430" s="1" t="s">
        <v>52</v>
      </c>
      <c r="F430" s="1" t="s">
        <v>365</v>
      </c>
      <c r="G430" s="3">
        <v>41584</v>
      </c>
      <c r="H430" s="3">
        <v>1</v>
      </c>
      <c r="I430" s="1" t="s">
        <v>41</v>
      </c>
      <c r="J430" s="1">
        <v>4</v>
      </c>
      <c r="L430" s="1" t="s">
        <v>1452</v>
      </c>
      <c r="Q430" s="1" t="s">
        <v>46</v>
      </c>
      <c r="R430" s="1" t="s">
        <v>47</v>
      </c>
      <c r="S430" s="1" t="s">
        <v>47</v>
      </c>
      <c r="T430" s="1" t="s">
        <v>48</v>
      </c>
      <c r="U430" s="1" t="s">
        <v>47</v>
      </c>
      <c r="V430" s="1" t="s">
        <v>47</v>
      </c>
      <c r="W430" s="1" t="s">
        <v>47</v>
      </c>
      <c r="Z430" s="1">
        <v>0</v>
      </c>
      <c r="AB430" s="1" t="s">
        <v>47</v>
      </c>
      <c r="AD430" s="1">
        <v>523721</v>
      </c>
      <c r="AF430" s="1" t="s">
        <v>47</v>
      </c>
      <c r="AG430" s="1" t="s">
        <v>47</v>
      </c>
      <c r="AH430" s="1" t="s">
        <v>49</v>
      </c>
      <c r="AI430" s="1" t="s">
        <v>47</v>
      </c>
      <c r="AK430" s="1" t="s">
        <v>48</v>
      </c>
      <c r="AL430" s="1" t="s">
        <v>1453</v>
      </c>
    </row>
    <row r="431" spans="1:38">
      <c r="A431" s="1">
        <v>5137678</v>
      </c>
      <c r="B431" s="1" t="s">
        <v>1454</v>
      </c>
      <c r="C431" s="1" t="str">
        <f>"9781292040073"</f>
        <v>9781292040073</v>
      </c>
      <c r="D431" s="1" t="str">
        <f>"9781292052694"</f>
        <v>9781292052694</v>
      </c>
      <c r="E431" s="1" t="s">
        <v>52</v>
      </c>
      <c r="F431" s="1" t="s">
        <v>40</v>
      </c>
      <c r="G431" s="3">
        <v>41579</v>
      </c>
      <c r="H431" s="3">
        <v>1</v>
      </c>
      <c r="I431" s="1" t="s">
        <v>41</v>
      </c>
      <c r="J431" s="1">
        <v>3</v>
      </c>
      <c r="L431" s="1" t="s">
        <v>1455</v>
      </c>
      <c r="M431" s="1" t="s">
        <v>54</v>
      </c>
      <c r="O431" s="1">
        <v>370.15230000000003</v>
      </c>
      <c r="Q431" s="1" t="s">
        <v>46</v>
      </c>
      <c r="R431" s="1" t="s">
        <v>47</v>
      </c>
      <c r="S431" s="1" t="s">
        <v>47</v>
      </c>
      <c r="T431" s="1" t="s">
        <v>48</v>
      </c>
      <c r="U431" s="1" t="s">
        <v>47</v>
      </c>
      <c r="V431" s="1" t="s">
        <v>47</v>
      </c>
      <c r="W431" s="1" t="s">
        <v>47</v>
      </c>
      <c r="Z431" s="1">
        <v>0</v>
      </c>
      <c r="AB431" s="1" t="s">
        <v>47</v>
      </c>
      <c r="AD431" s="1">
        <v>543406</v>
      </c>
      <c r="AF431" s="1" t="s">
        <v>47</v>
      </c>
      <c r="AG431" s="1" t="s">
        <v>47</v>
      </c>
      <c r="AH431" s="1" t="s">
        <v>49</v>
      </c>
      <c r="AI431" s="1" t="s">
        <v>47</v>
      </c>
      <c r="AK431" s="1" t="s">
        <v>48</v>
      </c>
      <c r="AL431" s="1" t="s">
        <v>1456</v>
      </c>
    </row>
    <row r="432" spans="1:38">
      <c r="A432" s="1">
        <v>5137679</v>
      </c>
      <c r="B432" s="1" t="s">
        <v>1457</v>
      </c>
      <c r="C432" s="1" t="str">
        <f>"9781292039282"</f>
        <v>9781292039282</v>
      </c>
      <c r="D432" s="1" t="str">
        <f>"9781292052700"</f>
        <v>9781292052700</v>
      </c>
      <c r="E432" s="1" t="s">
        <v>52</v>
      </c>
      <c r="F432" s="1" t="s">
        <v>40</v>
      </c>
      <c r="G432" s="3">
        <v>41513</v>
      </c>
      <c r="H432" s="3">
        <v>1</v>
      </c>
      <c r="I432" s="1" t="s">
        <v>41</v>
      </c>
      <c r="J432" s="1">
        <v>3</v>
      </c>
      <c r="L432" s="1" t="s">
        <v>1458</v>
      </c>
      <c r="M432" s="1" t="s">
        <v>256</v>
      </c>
      <c r="O432" s="1">
        <v>338.1</v>
      </c>
      <c r="Q432" s="1" t="s">
        <v>46</v>
      </c>
      <c r="R432" s="1" t="s">
        <v>47</v>
      </c>
      <c r="S432" s="1" t="s">
        <v>47</v>
      </c>
      <c r="T432" s="1" t="s">
        <v>48</v>
      </c>
      <c r="U432" s="1" t="s">
        <v>47</v>
      </c>
      <c r="V432" s="1" t="s">
        <v>47</v>
      </c>
      <c r="W432" s="1" t="s">
        <v>47</v>
      </c>
      <c r="Z432" s="1">
        <v>0</v>
      </c>
      <c r="AB432" s="1" t="s">
        <v>47</v>
      </c>
      <c r="AD432" s="1">
        <v>543321</v>
      </c>
      <c r="AF432" s="1" t="s">
        <v>47</v>
      </c>
      <c r="AG432" s="1" t="s">
        <v>47</v>
      </c>
      <c r="AH432" s="1" t="s">
        <v>49</v>
      </c>
      <c r="AI432" s="1" t="s">
        <v>47</v>
      </c>
      <c r="AK432" s="1" t="s">
        <v>48</v>
      </c>
      <c r="AL432" s="1" t="s">
        <v>1459</v>
      </c>
    </row>
    <row r="433" spans="1:38">
      <c r="A433" s="1">
        <v>5137688</v>
      </c>
      <c r="B433" s="1" t="s">
        <v>282</v>
      </c>
      <c r="C433" s="1" t="str">
        <f>"9781292023816"</f>
        <v>9781292023816</v>
      </c>
      <c r="D433" s="1" t="str">
        <f>"9781292036946"</f>
        <v>9781292036946</v>
      </c>
      <c r="E433" s="1" t="s">
        <v>52</v>
      </c>
      <c r="F433" s="1" t="s">
        <v>40</v>
      </c>
      <c r="G433" s="3">
        <v>41473</v>
      </c>
      <c r="H433" s="3">
        <v>1</v>
      </c>
      <c r="I433" s="1" t="s">
        <v>41</v>
      </c>
      <c r="J433" s="1">
        <v>5</v>
      </c>
      <c r="L433" s="1" t="s">
        <v>1460</v>
      </c>
      <c r="M433" s="1" t="s">
        <v>242</v>
      </c>
      <c r="O433" s="1">
        <v>512</v>
      </c>
      <c r="Q433" s="1" t="s">
        <v>46</v>
      </c>
      <c r="R433" s="1" t="s">
        <v>47</v>
      </c>
      <c r="S433" s="1" t="s">
        <v>47</v>
      </c>
      <c r="T433" s="1" t="s">
        <v>48</v>
      </c>
      <c r="U433" s="1" t="s">
        <v>47</v>
      </c>
      <c r="V433" s="1" t="s">
        <v>47</v>
      </c>
      <c r="W433" s="1" t="s">
        <v>47</v>
      </c>
      <c r="Z433" s="1">
        <v>0</v>
      </c>
      <c r="AB433" s="1" t="s">
        <v>47</v>
      </c>
      <c r="AD433" s="1">
        <v>527309</v>
      </c>
      <c r="AF433" s="1" t="s">
        <v>47</v>
      </c>
      <c r="AG433" s="1" t="s">
        <v>47</v>
      </c>
      <c r="AH433" s="1" t="s">
        <v>49</v>
      </c>
      <c r="AI433" s="1" t="s">
        <v>47</v>
      </c>
      <c r="AK433" s="1" t="s">
        <v>48</v>
      </c>
      <c r="AL433" s="1" t="s">
        <v>1461</v>
      </c>
    </row>
    <row r="434" spans="1:38">
      <c r="A434" s="1">
        <v>5137689</v>
      </c>
      <c r="B434" s="1" t="s">
        <v>495</v>
      </c>
      <c r="C434" s="1" t="str">
        <f>"9781292039848"</f>
        <v>9781292039848</v>
      </c>
      <c r="D434" s="1" t="str">
        <f>"9781292052748"</f>
        <v>9781292052748</v>
      </c>
      <c r="E434" s="1" t="s">
        <v>52</v>
      </c>
      <c r="F434" s="1" t="s">
        <v>40</v>
      </c>
      <c r="G434" s="3">
        <v>41579</v>
      </c>
      <c r="H434" s="3">
        <v>1</v>
      </c>
      <c r="I434" s="1" t="s">
        <v>41</v>
      </c>
      <c r="J434" s="1">
        <v>4</v>
      </c>
      <c r="L434" s="1" t="s">
        <v>1460</v>
      </c>
      <c r="M434" s="1" t="s">
        <v>242</v>
      </c>
      <c r="O434" s="1">
        <v>515</v>
      </c>
      <c r="Q434" s="1" t="s">
        <v>46</v>
      </c>
      <c r="R434" s="1" t="s">
        <v>47</v>
      </c>
      <c r="S434" s="1" t="s">
        <v>47</v>
      </c>
      <c r="T434" s="1" t="s">
        <v>48</v>
      </c>
      <c r="U434" s="1" t="s">
        <v>47</v>
      </c>
      <c r="V434" s="1" t="s">
        <v>47</v>
      </c>
      <c r="W434" s="1" t="s">
        <v>47</v>
      </c>
      <c r="Z434" s="1">
        <v>0</v>
      </c>
      <c r="AB434" s="1" t="s">
        <v>47</v>
      </c>
      <c r="AD434" s="1">
        <v>543388</v>
      </c>
      <c r="AF434" s="1" t="s">
        <v>47</v>
      </c>
      <c r="AG434" s="1" t="s">
        <v>47</v>
      </c>
      <c r="AH434" s="1" t="s">
        <v>49</v>
      </c>
      <c r="AI434" s="1" t="s">
        <v>47</v>
      </c>
      <c r="AK434" s="1" t="s">
        <v>48</v>
      </c>
      <c r="AL434" s="1" t="s">
        <v>1462</v>
      </c>
    </row>
    <row r="435" spans="1:38">
      <c r="A435" s="1">
        <v>5137690</v>
      </c>
      <c r="B435" s="1" t="s">
        <v>1463</v>
      </c>
      <c r="C435" s="1" t="str">
        <f>"9781292027746"</f>
        <v>9781292027746</v>
      </c>
      <c r="D435" s="1" t="str">
        <f>"9781292052731"</f>
        <v>9781292052731</v>
      </c>
      <c r="E435" s="1" t="s">
        <v>52</v>
      </c>
      <c r="F435" s="1" t="s">
        <v>40</v>
      </c>
      <c r="G435" s="3">
        <v>41579</v>
      </c>
      <c r="H435" s="3">
        <v>1</v>
      </c>
      <c r="I435" s="1" t="s">
        <v>41</v>
      </c>
      <c r="J435" s="1">
        <v>3</v>
      </c>
      <c r="L435" s="1" t="s">
        <v>1460</v>
      </c>
      <c r="M435" s="1" t="s">
        <v>242</v>
      </c>
      <c r="O435" s="1">
        <v>516.24</v>
      </c>
      <c r="Q435" s="1" t="s">
        <v>46</v>
      </c>
      <c r="R435" s="1" t="s">
        <v>47</v>
      </c>
      <c r="S435" s="1" t="s">
        <v>47</v>
      </c>
      <c r="T435" s="1" t="s">
        <v>48</v>
      </c>
      <c r="U435" s="1" t="s">
        <v>47</v>
      </c>
      <c r="V435" s="1" t="s">
        <v>47</v>
      </c>
      <c r="W435" s="1" t="s">
        <v>47</v>
      </c>
      <c r="Z435" s="1">
        <v>0</v>
      </c>
      <c r="AB435" s="1" t="s">
        <v>47</v>
      </c>
      <c r="AD435" s="1">
        <v>543474</v>
      </c>
      <c r="AF435" s="1" t="s">
        <v>47</v>
      </c>
      <c r="AG435" s="1" t="s">
        <v>47</v>
      </c>
      <c r="AH435" s="1" t="s">
        <v>49</v>
      </c>
      <c r="AI435" s="1" t="s">
        <v>47</v>
      </c>
      <c r="AK435" s="1" t="s">
        <v>48</v>
      </c>
      <c r="AL435" s="1" t="s">
        <v>1464</v>
      </c>
    </row>
    <row r="436" spans="1:38">
      <c r="A436" s="1">
        <v>5137693</v>
      </c>
      <c r="B436" s="1" t="s">
        <v>1465</v>
      </c>
      <c r="C436" s="1" t="str">
        <f>"9781292026916"</f>
        <v>9781292026916</v>
      </c>
      <c r="D436" s="1" t="str">
        <f>"9781292052755"</f>
        <v>9781292052755</v>
      </c>
      <c r="E436" s="1" t="s">
        <v>52</v>
      </c>
      <c r="F436" s="1" t="s">
        <v>40</v>
      </c>
      <c r="G436" s="3">
        <v>41579</v>
      </c>
      <c r="H436" s="3">
        <v>1</v>
      </c>
      <c r="I436" s="1" t="s">
        <v>41</v>
      </c>
      <c r="J436" s="1">
        <v>3</v>
      </c>
      <c r="L436" s="1" t="s">
        <v>1466</v>
      </c>
      <c r="M436" s="1" t="s">
        <v>1107</v>
      </c>
      <c r="O436" s="1">
        <v>808.06614999999999</v>
      </c>
      <c r="Q436" s="1" t="s">
        <v>46</v>
      </c>
      <c r="R436" s="1" t="s">
        <v>47</v>
      </c>
      <c r="S436" s="1" t="s">
        <v>47</v>
      </c>
      <c r="T436" s="1" t="s">
        <v>48</v>
      </c>
      <c r="U436" s="1" t="s">
        <v>47</v>
      </c>
      <c r="V436" s="1" t="s">
        <v>47</v>
      </c>
      <c r="W436" s="1" t="s">
        <v>47</v>
      </c>
      <c r="Z436" s="1">
        <v>0</v>
      </c>
      <c r="AB436" s="1" t="s">
        <v>47</v>
      </c>
      <c r="AD436" s="1">
        <v>543422</v>
      </c>
      <c r="AF436" s="1" t="s">
        <v>47</v>
      </c>
      <c r="AG436" s="1" t="s">
        <v>47</v>
      </c>
      <c r="AH436" s="1" t="s">
        <v>49</v>
      </c>
      <c r="AI436" s="1" t="s">
        <v>47</v>
      </c>
      <c r="AK436" s="1" t="s">
        <v>48</v>
      </c>
      <c r="AL436" s="1" t="s">
        <v>1467</v>
      </c>
    </row>
    <row r="437" spans="1:38">
      <c r="A437" s="1">
        <v>5137694</v>
      </c>
      <c r="B437" s="1" t="s">
        <v>1468</v>
      </c>
      <c r="C437" s="1" t="str">
        <f>"9781292026923"</f>
        <v>9781292026923</v>
      </c>
      <c r="D437" s="1" t="str">
        <f>"9781292052762"</f>
        <v>9781292052762</v>
      </c>
      <c r="E437" s="1" t="s">
        <v>52</v>
      </c>
      <c r="F437" s="1" t="s">
        <v>40</v>
      </c>
      <c r="G437" s="3">
        <v>41579</v>
      </c>
      <c r="H437" s="3">
        <v>1</v>
      </c>
      <c r="I437" s="1" t="s">
        <v>41</v>
      </c>
      <c r="J437" s="1">
        <v>14</v>
      </c>
      <c r="L437" s="1" t="s">
        <v>1469</v>
      </c>
      <c r="M437" s="1" t="s">
        <v>1400</v>
      </c>
      <c r="O437" s="1">
        <v>320.60973000000001</v>
      </c>
      <c r="Q437" s="1" t="s">
        <v>46</v>
      </c>
      <c r="R437" s="1" t="s">
        <v>47</v>
      </c>
      <c r="S437" s="1" t="s">
        <v>47</v>
      </c>
      <c r="T437" s="1" t="s">
        <v>48</v>
      </c>
      <c r="U437" s="1" t="s">
        <v>47</v>
      </c>
      <c r="V437" s="1" t="s">
        <v>47</v>
      </c>
      <c r="W437" s="1" t="s">
        <v>47</v>
      </c>
      <c r="Z437" s="1">
        <v>0</v>
      </c>
      <c r="AB437" s="1" t="s">
        <v>47</v>
      </c>
      <c r="AD437" s="1">
        <v>543560</v>
      </c>
      <c r="AF437" s="1" t="s">
        <v>47</v>
      </c>
      <c r="AG437" s="1" t="s">
        <v>47</v>
      </c>
      <c r="AH437" s="1" t="s">
        <v>49</v>
      </c>
      <c r="AI437" s="1" t="s">
        <v>47</v>
      </c>
      <c r="AK437" s="1" t="s">
        <v>48</v>
      </c>
      <c r="AL437" s="1" t="s">
        <v>1470</v>
      </c>
    </row>
    <row r="438" spans="1:38">
      <c r="A438" s="1">
        <v>5137697</v>
      </c>
      <c r="B438" s="1" t="s">
        <v>1471</v>
      </c>
      <c r="C438" s="1" t="str">
        <f>"9780273727224"</f>
        <v>9780273727224</v>
      </c>
      <c r="D438" s="1" t="str">
        <f>"9780273727231"</f>
        <v>9780273727231</v>
      </c>
      <c r="E438" s="1" t="s">
        <v>52</v>
      </c>
      <c r="F438" s="1" t="s">
        <v>40</v>
      </c>
      <c r="G438" s="3">
        <v>40603</v>
      </c>
      <c r="H438" s="3">
        <v>1</v>
      </c>
      <c r="I438" s="1" t="s">
        <v>41</v>
      </c>
      <c r="J438" s="1">
        <v>1</v>
      </c>
      <c r="L438" s="1" t="s">
        <v>1472</v>
      </c>
      <c r="M438" s="1" t="s">
        <v>59</v>
      </c>
      <c r="N438" s="1" t="s">
        <v>1473</v>
      </c>
      <c r="O438" s="1">
        <v>658.8</v>
      </c>
      <c r="Q438" s="1" t="s">
        <v>46</v>
      </c>
      <c r="R438" s="1" t="s">
        <v>47</v>
      </c>
      <c r="S438" s="1" t="s">
        <v>47</v>
      </c>
      <c r="T438" s="1" t="s">
        <v>48</v>
      </c>
      <c r="U438" s="1" t="s">
        <v>47</v>
      </c>
      <c r="V438" s="1" t="s">
        <v>47</v>
      </c>
      <c r="W438" s="1" t="s">
        <v>47</v>
      </c>
      <c r="Z438" s="1">
        <v>0</v>
      </c>
      <c r="AB438" s="1" t="s">
        <v>47</v>
      </c>
      <c r="AD438" s="1">
        <v>459597</v>
      </c>
      <c r="AF438" s="1" t="s">
        <v>47</v>
      </c>
      <c r="AG438" s="1" t="s">
        <v>47</v>
      </c>
      <c r="AH438" s="1" t="s">
        <v>49</v>
      </c>
      <c r="AI438" s="1" t="s">
        <v>47</v>
      </c>
      <c r="AK438" s="1" t="s">
        <v>48</v>
      </c>
      <c r="AL438" s="1" t="s">
        <v>1474</v>
      </c>
    </row>
    <row r="439" spans="1:38">
      <c r="A439" s="1">
        <v>5137699</v>
      </c>
      <c r="B439" s="1" t="s">
        <v>1475</v>
      </c>
      <c r="C439" s="1" t="str">
        <f>"9781292025339"</f>
        <v>9781292025339</v>
      </c>
      <c r="D439" s="1" t="str">
        <f>"9781292037899"</f>
        <v>9781292037899</v>
      </c>
      <c r="E439" s="1" t="s">
        <v>52</v>
      </c>
      <c r="F439" s="1" t="s">
        <v>40</v>
      </c>
      <c r="G439" s="3">
        <v>41484</v>
      </c>
      <c r="H439" s="3">
        <v>1</v>
      </c>
      <c r="I439" s="1" t="s">
        <v>41</v>
      </c>
      <c r="J439" s="1">
        <v>6</v>
      </c>
      <c r="L439" s="1" t="s">
        <v>1476</v>
      </c>
      <c r="M439" s="1" t="s">
        <v>242</v>
      </c>
      <c r="O439" s="1">
        <v>515.35</v>
      </c>
      <c r="Q439" s="1" t="s">
        <v>46</v>
      </c>
      <c r="R439" s="1" t="s">
        <v>47</v>
      </c>
      <c r="S439" s="1" t="s">
        <v>47</v>
      </c>
      <c r="T439" s="1" t="s">
        <v>48</v>
      </c>
      <c r="U439" s="1" t="s">
        <v>47</v>
      </c>
      <c r="V439" s="1" t="s">
        <v>47</v>
      </c>
      <c r="W439" s="1" t="s">
        <v>47</v>
      </c>
      <c r="Z439" s="1">
        <v>0</v>
      </c>
      <c r="AB439" s="1" t="s">
        <v>47</v>
      </c>
      <c r="AD439" s="1">
        <v>527307</v>
      </c>
      <c r="AF439" s="1" t="s">
        <v>47</v>
      </c>
      <c r="AG439" s="1" t="s">
        <v>47</v>
      </c>
      <c r="AH439" s="1" t="s">
        <v>49</v>
      </c>
      <c r="AI439" s="1" t="s">
        <v>47</v>
      </c>
      <c r="AK439" s="1" t="s">
        <v>48</v>
      </c>
      <c r="AL439" s="1" t="s">
        <v>1477</v>
      </c>
    </row>
    <row r="440" spans="1:38">
      <c r="A440" s="1">
        <v>5137700</v>
      </c>
      <c r="B440" s="1" t="s">
        <v>1478</v>
      </c>
      <c r="C440" s="1" t="str">
        <f>"9781292039084"</f>
        <v>9781292039084</v>
      </c>
      <c r="D440" s="1" t="str">
        <f>"9781292052809"</f>
        <v>9781292052809</v>
      </c>
      <c r="E440" s="1" t="s">
        <v>52</v>
      </c>
      <c r="F440" s="1" t="s">
        <v>40</v>
      </c>
      <c r="G440" s="3">
        <v>41513</v>
      </c>
      <c r="H440" s="3">
        <v>1</v>
      </c>
      <c r="I440" s="1" t="s">
        <v>41</v>
      </c>
      <c r="J440" s="1">
        <v>3</v>
      </c>
      <c r="L440" s="1" t="s">
        <v>1476</v>
      </c>
      <c r="M440" s="1" t="s">
        <v>242</v>
      </c>
      <c r="O440" s="1">
        <v>515.35</v>
      </c>
      <c r="Q440" s="1" t="s">
        <v>46</v>
      </c>
      <c r="R440" s="1" t="s">
        <v>47</v>
      </c>
      <c r="S440" s="1" t="s">
        <v>47</v>
      </c>
      <c r="T440" s="1" t="s">
        <v>48</v>
      </c>
      <c r="U440" s="1" t="s">
        <v>47</v>
      </c>
      <c r="V440" s="1" t="s">
        <v>47</v>
      </c>
      <c r="W440" s="1" t="s">
        <v>47</v>
      </c>
      <c r="Z440" s="1">
        <v>0</v>
      </c>
      <c r="AB440" s="1" t="s">
        <v>47</v>
      </c>
      <c r="AD440" s="1">
        <v>543389</v>
      </c>
      <c r="AF440" s="1" t="s">
        <v>47</v>
      </c>
      <c r="AG440" s="1" t="s">
        <v>47</v>
      </c>
      <c r="AH440" s="1" t="s">
        <v>49</v>
      </c>
      <c r="AI440" s="1" t="s">
        <v>47</v>
      </c>
      <c r="AK440" s="1" t="s">
        <v>48</v>
      </c>
      <c r="AL440" s="1" t="s">
        <v>1479</v>
      </c>
    </row>
    <row r="441" spans="1:38">
      <c r="A441" s="1">
        <v>5137701</v>
      </c>
      <c r="B441" s="1" t="s">
        <v>1480</v>
      </c>
      <c r="C441" s="1" t="str">
        <f>"9781292022178"</f>
        <v>9781292022178</v>
      </c>
      <c r="D441" s="1" t="str">
        <f>"9781292035376"</f>
        <v>9781292035376</v>
      </c>
      <c r="E441" s="1" t="s">
        <v>52</v>
      </c>
      <c r="F441" s="1" t="s">
        <v>40</v>
      </c>
      <c r="G441" s="3">
        <v>41480</v>
      </c>
      <c r="H441" s="3">
        <v>1</v>
      </c>
      <c r="I441" s="1" t="s">
        <v>41</v>
      </c>
      <c r="J441" s="1">
        <v>7</v>
      </c>
      <c r="L441" s="1" t="s">
        <v>1481</v>
      </c>
      <c r="M441" s="1" t="s">
        <v>242</v>
      </c>
      <c r="O441" s="1">
        <v>515</v>
      </c>
      <c r="Q441" s="1" t="s">
        <v>46</v>
      </c>
      <c r="R441" s="1" t="s">
        <v>47</v>
      </c>
      <c r="S441" s="1" t="s">
        <v>47</v>
      </c>
      <c r="T441" s="1" t="s">
        <v>48</v>
      </c>
      <c r="U441" s="1" t="s">
        <v>47</v>
      </c>
      <c r="V441" s="1" t="s">
        <v>47</v>
      </c>
      <c r="W441" s="1" t="s">
        <v>47</v>
      </c>
      <c r="Z441" s="1">
        <v>0</v>
      </c>
      <c r="AB441" s="1" t="s">
        <v>47</v>
      </c>
      <c r="AF441" s="1" t="s">
        <v>47</v>
      </c>
      <c r="AG441" s="1" t="s">
        <v>47</v>
      </c>
      <c r="AH441" s="1" t="s">
        <v>49</v>
      </c>
      <c r="AI441" s="1" t="s">
        <v>47</v>
      </c>
      <c r="AK441" s="1" t="s">
        <v>48</v>
      </c>
      <c r="AL441" s="1" t="s">
        <v>1482</v>
      </c>
    </row>
    <row r="442" spans="1:38">
      <c r="A442" s="1">
        <v>5137702</v>
      </c>
      <c r="B442" s="1" t="s">
        <v>1483</v>
      </c>
      <c r="C442" s="1" t="str">
        <f>"9781292041261"</f>
        <v>9781292041261</v>
      </c>
      <c r="D442" s="1" t="str">
        <f>"9781292052786"</f>
        <v>9781292052786</v>
      </c>
      <c r="E442" s="1" t="s">
        <v>52</v>
      </c>
      <c r="F442" s="1" t="s">
        <v>40</v>
      </c>
      <c r="G442" s="3">
        <v>41579</v>
      </c>
      <c r="H442" s="3">
        <v>1</v>
      </c>
      <c r="I442" s="1" t="s">
        <v>41</v>
      </c>
      <c r="J442" s="1">
        <v>5</v>
      </c>
      <c r="L442" s="1" t="s">
        <v>1484</v>
      </c>
      <c r="M442" s="1" t="s">
        <v>54</v>
      </c>
      <c r="O442" s="1">
        <v>372.50439999999998</v>
      </c>
      <c r="Q442" s="1" t="s">
        <v>46</v>
      </c>
      <c r="R442" s="1" t="s">
        <v>47</v>
      </c>
      <c r="S442" s="1" t="s">
        <v>47</v>
      </c>
      <c r="T442" s="1" t="s">
        <v>48</v>
      </c>
      <c r="U442" s="1" t="s">
        <v>47</v>
      </c>
      <c r="V442" s="1" t="s">
        <v>47</v>
      </c>
      <c r="W442" s="1" t="s">
        <v>47</v>
      </c>
      <c r="Z442" s="1">
        <v>0</v>
      </c>
      <c r="AB442" s="1" t="s">
        <v>47</v>
      </c>
      <c r="AD442" s="1">
        <v>543419</v>
      </c>
      <c r="AF442" s="1" t="s">
        <v>47</v>
      </c>
      <c r="AG442" s="1" t="s">
        <v>47</v>
      </c>
      <c r="AH442" s="1" t="s">
        <v>49</v>
      </c>
      <c r="AI442" s="1" t="s">
        <v>47</v>
      </c>
      <c r="AK442" s="1" t="s">
        <v>48</v>
      </c>
      <c r="AL442" s="1" t="s">
        <v>1485</v>
      </c>
    </row>
    <row r="443" spans="1:38">
      <c r="A443" s="1">
        <v>5137707</v>
      </c>
      <c r="B443" s="1" t="s">
        <v>1486</v>
      </c>
      <c r="C443" s="1" t="str">
        <f>"9780133526950"</f>
        <v>9780133526950</v>
      </c>
      <c r="D443" s="1" t="str">
        <f>"9780273740759"</f>
        <v>9780273740759</v>
      </c>
      <c r="E443" s="1" t="s">
        <v>52</v>
      </c>
      <c r="F443" s="1" t="s">
        <v>157</v>
      </c>
      <c r="G443" s="3">
        <v>40567</v>
      </c>
      <c r="H443" s="3">
        <v>1</v>
      </c>
      <c r="I443" s="1" t="s">
        <v>41</v>
      </c>
      <c r="J443" s="1">
        <v>1</v>
      </c>
      <c r="L443" s="1" t="s">
        <v>1487</v>
      </c>
      <c r="Q443" s="1" t="s">
        <v>46</v>
      </c>
      <c r="R443" s="1" t="s">
        <v>47</v>
      </c>
      <c r="S443" s="1" t="s">
        <v>47</v>
      </c>
      <c r="T443" s="1" t="s">
        <v>48</v>
      </c>
      <c r="U443" s="1" t="s">
        <v>47</v>
      </c>
      <c r="V443" s="1" t="s">
        <v>47</v>
      </c>
      <c r="W443" s="1" t="s">
        <v>47</v>
      </c>
      <c r="Z443" s="1">
        <v>0</v>
      </c>
      <c r="AB443" s="1" t="s">
        <v>47</v>
      </c>
      <c r="AD443" s="1">
        <v>298372</v>
      </c>
      <c r="AF443" s="1" t="s">
        <v>47</v>
      </c>
      <c r="AG443" s="1" t="s">
        <v>47</v>
      </c>
      <c r="AH443" s="1" t="s">
        <v>49</v>
      </c>
      <c r="AI443" s="1" t="s">
        <v>47</v>
      </c>
      <c r="AK443" s="1" t="s">
        <v>48</v>
      </c>
      <c r="AL443" s="1" t="s">
        <v>1488</v>
      </c>
    </row>
    <row r="444" spans="1:38">
      <c r="A444" s="1">
        <v>5137710</v>
      </c>
      <c r="B444" s="1" t="s">
        <v>1489</v>
      </c>
      <c r="C444" s="1" t="str">
        <f>"9781292040776"</f>
        <v>9781292040776</v>
      </c>
      <c r="D444" s="1" t="str">
        <f>"9781292052816"</f>
        <v>9781292052816</v>
      </c>
      <c r="E444" s="1" t="s">
        <v>52</v>
      </c>
      <c r="F444" s="1" t="s">
        <v>40</v>
      </c>
      <c r="G444" s="3">
        <v>41579</v>
      </c>
      <c r="H444" s="3">
        <v>1</v>
      </c>
      <c r="I444" s="1" t="s">
        <v>41</v>
      </c>
      <c r="J444" s="1">
        <v>1</v>
      </c>
      <c r="L444" s="1" t="s">
        <v>1490</v>
      </c>
      <c r="M444" s="1" t="s">
        <v>915</v>
      </c>
      <c r="O444" s="1">
        <v>612.79999999999995</v>
      </c>
      <c r="Q444" s="1" t="s">
        <v>46</v>
      </c>
      <c r="R444" s="1" t="s">
        <v>47</v>
      </c>
      <c r="S444" s="1" t="s">
        <v>47</v>
      </c>
      <c r="T444" s="1" t="s">
        <v>48</v>
      </c>
      <c r="U444" s="1" t="s">
        <v>47</v>
      </c>
      <c r="V444" s="1" t="s">
        <v>47</v>
      </c>
      <c r="W444" s="1" t="s">
        <v>47</v>
      </c>
      <c r="Z444" s="1">
        <v>0</v>
      </c>
      <c r="AB444" s="1" t="s">
        <v>47</v>
      </c>
      <c r="AD444" s="1">
        <v>543405</v>
      </c>
      <c r="AF444" s="1" t="s">
        <v>47</v>
      </c>
      <c r="AG444" s="1" t="s">
        <v>47</v>
      </c>
      <c r="AH444" s="1" t="s">
        <v>49</v>
      </c>
      <c r="AI444" s="1" t="s">
        <v>47</v>
      </c>
      <c r="AK444" s="1" t="s">
        <v>48</v>
      </c>
      <c r="AL444" s="1" t="s">
        <v>1491</v>
      </c>
    </row>
    <row r="445" spans="1:38">
      <c r="A445" s="1">
        <v>5137722</v>
      </c>
      <c r="B445" s="1" t="s">
        <v>1492</v>
      </c>
      <c r="C445" s="1" t="str">
        <f>"9781292040974"</f>
        <v>9781292040974</v>
      </c>
      <c r="D445" s="1" t="str">
        <f>"9781292052830"</f>
        <v>9781292052830</v>
      </c>
      <c r="E445" s="1" t="s">
        <v>52</v>
      </c>
      <c r="F445" s="1" t="s">
        <v>40</v>
      </c>
      <c r="G445" s="3">
        <v>41579</v>
      </c>
      <c r="H445" s="3">
        <v>1</v>
      </c>
      <c r="I445" s="1" t="s">
        <v>41</v>
      </c>
      <c r="J445" s="1">
        <v>1</v>
      </c>
      <c r="L445" s="1" t="s">
        <v>1493</v>
      </c>
      <c r="M445" s="1" t="s">
        <v>556</v>
      </c>
      <c r="O445" s="1">
        <v>5.5</v>
      </c>
      <c r="Q445" s="1" t="s">
        <v>46</v>
      </c>
      <c r="R445" s="1" t="s">
        <v>47</v>
      </c>
      <c r="S445" s="1" t="s">
        <v>47</v>
      </c>
      <c r="T445" s="1" t="s">
        <v>48</v>
      </c>
      <c r="U445" s="1" t="s">
        <v>47</v>
      </c>
      <c r="V445" s="1" t="s">
        <v>47</v>
      </c>
      <c r="W445" s="1" t="s">
        <v>47</v>
      </c>
      <c r="Z445" s="1">
        <v>0</v>
      </c>
      <c r="AB445" s="1" t="s">
        <v>47</v>
      </c>
      <c r="AD445" s="1">
        <v>543535</v>
      </c>
      <c r="AF445" s="1" t="s">
        <v>47</v>
      </c>
      <c r="AG445" s="1" t="s">
        <v>47</v>
      </c>
      <c r="AH445" s="1" t="s">
        <v>49</v>
      </c>
      <c r="AI445" s="1" t="s">
        <v>47</v>
      </c>
      <c r="AK445" s="1" t="s">
        <v>48</v>
      </c>
      <c r="AL445" s="1" t="s">
        <v>1494</v>
      </c>
    </row>
    <row r="446" spans="1:38">
      <c r="A446" s="1">
        <v>5137729</v>
      </c>
      <c r="B446" s="1" t="s">
        <v>1495</v>
      </c>
      <c r="C446" s="1" t="str">
        <f>"9781292023878"</f>
        <v>9781292023878</v>
      </c>
      <c r="D446" s="1" t="str">
        <f>"9781292036984"</f>
        <v>9781292036984</v>
      </c>
      <c r="E446" s="1" t="s">
        <v>52</v>
      </c>
      <c r="F446" s="1" t="s">
        <v>40</v>
      </c>
      <c r="G446" s="3">
        <v>41478</v>
      </c>
      <c r="H446" s="3">
        <v>1</v>
      </c>
      <c r="I446" s="1" t="s">
        <v>41</v>
      </c>
      <c r="J446" s="1">
        <v>7</v>
      </c>
      <c r="L446" s="1" t="s">
        <v>1496</v>
      </c>
      <c r="M446" s="1" t="s">
        <v>1497</v>
      </c>
      <c r="O446" s="1">
        <v>620.10599999999999</v>
      </c>
      <c r="Q446" s="1" t="s">
        <v>46</v>
      </c>
      <c r="R446" s="1" t="s">
        <v>47</v>
      </c>
      <c r="S446" s="1" t="s">
        <v>47</v>
      </c>
      <c r="T446" s="1" t="s">
        <v>48</v>
      </c>
      <c r="U446" s="1" t="s">
        <v>47</v>
      </c>
      <c r="V446" s="1" t="s">
        <v>47</v>
      </c>
      <c r="W446" s="1" t="s">
        <v>47</v>
      </c>
      <c r="Z446" s="1">
        <v>0</v>
      </c>
      <c r="AB446" s="1" t="s">
        <v>47</v>
      </c>
      <c r="AD446" s="1">
        <v>527209</v>
      </c>
      <c r="AF446" s="1" t="s">
        <v>47</v>
      </c>
      <c r="AG446" s="1" t="s">
        <v>47</v>
      </c>
      <c r="AH446" s="1" t="s">
        <v>49</v>
      </c>
      <c r="AI446" s="1" t="s">
        <v>47</v>
      </c>
      <c r="AK446" s="1" t="s">
        <v>48</v>
      </c>
      <c r="AL446" s="1" t="s">
        <v>1498</v>
      </c>
    </row>
    <row r="447" spans="1:38">
      <c r="A447" s="1">
        <v>5137741</v>
      </c>
      <c r="B447" s="1" t="s">
        <v>1499</v>
      </c>
      <c r="C447" s="1" t="str">
        <f>"9780133553802"</f>
        <v>9780133553802</v>
      </c>
      <c r="D447" s="1" t="str">
        <f>"9780273743996"</f>
        <v>9780273743996</v>
      </c>
      <c r="E447" s="1" t="s">
        <v>52</v>
      </c>
      <c r="F447" s="1" t="s">
        <v>57</v>
      </c>
      <c r="G447" s="3">
        <v>40630</v>
      </c>
      <c r="H447" s="3">
        <v>1</v>
      </c>
      <c r="I447" s="1" t="s">
        <v>41</v>
      </c>
      <c r="J447" s="1">
        <v>3</v>
      </c>
      <c r="L447" s="1" t="s">
        <v>1500</v>
      </c>
      <c r="Q447" s="1" t="s">
        <v>46</v>
      </c>
      <c r="R447" s="1" t="s">
        <v>47</v>
      </c>
      <c r="S447" s="1" t="s">
        <v>47</v>
      </c>
      <c r="T447" s="1" t="s">
        <v>48</v>
      </c>
      <c r="U447" s="1" t="s">
        <v>47</v>
      </c>
      <c r="V447" s="1" t="s">
        <v>47</v>
      </c>
      <c r="W447" s="1" t="s">
        <v>47</v>
      </c>
      <c r="Z447" s="1">
        <v>0</v>
      </c>
      <c r="AB447" s="1" t="s">
        <v>47</v>
      </c>
      <c r="AD447" s="1">
        <v>305623</v>
      </c>
      <c r="AF447" s="1" t="s">
        <v>47</v>
      </c>
      <c r="AG447" s="1" t="s">
        <v>47</v>
      </c>
      <c r="AH447" s="1" t="s">
        <v>49</v>
      </c>
      <c r="AI447" s="1" t="s">
        <v>47</v>
      </c>
      <c r="AK447" s="1" t="s">
        <v>48</v>
      </c>
      <c r="AL447" s="1" t="s">
        <v>1501</v>
      </c>
    </row>
    <row r="448" spans="1:38">
      <c r="A448" s="1">
        <v>5137742</v>
      </c>
      <c r="B448" s="1" t="s">
        <v>1502</v>
      </c>
      <c r="C448" s="1" t="str">
        <f>"9781408294185"</f>
        <v>9781408294185</v>
      </c>
      <c r="D448" s="1" t="str">
        <f>"9781408295243"</f>
        <v>9781408295243</v>
      </c>
      <c r="E448" s="1" t="s">
        <v>52</v>
      </c>
      <c r="F448" s="1" t="s">
        <v>40</v>
      </c>
      <c r="G448" s="3">
        <v>41081</v>
      </c>
      <c r="H448" s="3">
        <v>1</v>
      </c>
      <c r="I448" s="1" t="s">
        <v>41</v>
      </c>
      <c r="J448" s="1">
        <v>9</v>
      </c>
      <c r="L448" s="1" t="s">
        <v>1503</v>
      </c>
      <c r="Q448" s="1" t="s">
        <v>46</v>
      </c>
      <c r="R448" s="1" t="s">
        <v>47</v>
      </c>
      <c r="S448" s="1" t="s">
        <v>47</v>
      </c>
      <c r="T448" s="1" t="s">
        <v>48</v>
      </c>
      <c r="U448" s="1" t="s">
        <v>47</v>
      </c>
      <c r="V448" s="1" t="s">
        <v>47</v>
      </c>
      <c r="W448" s="1" t="s">
        <v>47</v>
      </c>
      <c r="Z448" s="1">
        <v>0</v>
      </c>
      <c r="AB448" s="1" t="s">
        <v>47</v>
      </c>
      <c r="AD448" s="1">
        <v>369140</v>
      </c>
      <c r="AF448" s="1" t="s">
        <v>47</v>
      </c>
      <c r="AG448" s="1" t="s">
        <v>47</v>
      </c>
      <c r="AH448" s="1" t="s">
        <v>49</v>
      </c>
      <c r="AI448" s="1" t="s">
        <v>47</v>
      </c>
      <c r="AK448" s="1" t="s">
        <v>48</v>
      </c>
      <c r="AL448" s="1" t="s">
        <v>1504</v>
      </c>
    </row>
    <row r="449" spans="1:38">
      <c r="A449" s="1">
        <v>5137744</v>
      </c>
      <c r="B449" s="1" t="s">
        <v>1505</v>
      </c>
      <c r="C449" s="1" t="str">
        <f>"9781292040707"</f>
        <v>9781292040707</v>
      </c>
      <c r="D449" s="1" t="str">
        <f>"9781292052908"</f>
        <v>9781292052908</v>
      </c>
      <c r="E449" s="1" t="s">
        <v>52</v>
      </c>
      <c r="F449" s="1" t="s">
        <v>40</v>
      </c>
      <c r="G449" s="3">
        <v>41579</v>
      </c>
      <c r="H449" s="3">
        <v>1</v>
      </c>
      <c r="I449" s="1" t="s">
        <v>41</v>
      </c>
      <c r="J449" s="1">
        <v>7</v>
      </c>
      <c r="L449" s="1" t="s">
        <v>1506</v>
      </c>
      <c r="M449" s="1" t="s">
        <v>718</v>
      </c>
      <c r="O449" s="1">
        <v>973</v>
      </c>
      <c r="Q449" s="1" t="s">
        <v>46</v>
      </c>
      <c r="R449" s="1" t="s">
        <v>47</v>
      </c>
      <c r="S449" s="1" t="s">
        <v>47</v>
      </c>
      <c r="T449" s="1" t="s">
        <v>48</v>
      </c>
      <c r="U449" s="1" t="s">
        <v>47</v>
      </c>
      <c r="V449" s="1" t="s">
        <v>47</v>
      </c>
      <c r="W449" s="1" t="s">
        <v>47</v>
      </c>
      <c r="Z449" s="1">
        <v>0</v>
      </c>
      <c r="AB449" s="1" t="s">
        <v>47</v>
      </c>
      <c r="AD449" s="1">
        <v>543324</v>
      </c>
      <c r="AF449" s="1" t="s">
        <v>47</v>
      </c>
      <c r="AG449" s="1" t="s">
        <v>47</v>
      </c>
      <c r="AH449" s="1" t="s">
        <v>49</v>
      </c>
      <c r="AI449" s="1" t="s">
        <v>47</v>
      </c>
      <c r="AK449" s="1" t="s">
        <v>48</v>
      </c>
      <c r="AL449" s="1" t="s">
        <v>1507</v>
      </c>
    </row>
    <row r="450" spans="1:38">
      <c r="A450" s="1">
        <v>5137745</v>
      </c>
      <c r="B450" s="1" t="s">
        <v>1505</v>
      </c>
      <c r="C450" s="1" t="str">
        <f>"9781292027739"</f>
        <v>9781292027739</v>
      </c>
      <c r="D450" s="1" t="str">
        <f>"9781292052892"</f>
        <v>9781292052892</v>
      </c>
      <c r="E450" s="1" t="s">
        <v>52</v>
      </c>
      <c r="F450" s="1" t="s">
        <v>40</v>
      </c>
      <c r="G450" s="3">
        <v>41579</v>
      </c>
      <c r="H450" s="3">
        <v>1</v>
      </c>
      <c r="I450" s="1" t="s">
        <v>41</v>
      </c>
      <c r="J450" s="1">
        <v>7</v>
      </c>
      <c r="L450" s="1" t="s">
        <v>1506</v>
      </c>
      <c r="M450" s="1" t="s">
        <v>718</v>
      </c>
      <c r="O450" s="1">
        <v>973</v>
      </c>
      <c r="Q450" s="1" t="s">
        <v>46</v>
      </c>
      <c r="R450" s="1" t="s">
        <v>47</v>
      </c>
      <c r="S450" s="1" t="s">
        <v>47</v>
      </c>
      <c r="T450" s="1" t="s">
        <v>48</v>
      </c>
      <c r="U450" s="1" t="s">
        <v>47</v>
      </c>
      <c r="V450" s="1" t="s">
        <v>47</v>
      </c>
      <c r="W450" s="1" t="s">
        <v>47</v>
      </c>
      <c r="Z450" s="1">
        <v>0</v>
      </c>
      <c r="AB450" s="1" t="s">
        <v>47</v>
      </c>
      <c r="AD450" s="1">
        <v>543551</v>
      </c>
      <c r="AF450" s="1" t="s">
        <v>47</v>
      </c>
      <c r="AG450" s="1" t="s">
        <v>47</v>
      </c>
      <c r="AH450" s="1" t="s">
        <v>49</v>
      </c>
      <c r="AI450" s="1" t="s">
        <v>47</v>
      </c>
      <c r="AK450" s="1" t="s">
        <v>48</v>
      </c>
      <c r="AL450" s="1" t="s">
        <v>1508</v>
      </c>
    </row>
    <row r="451" spans="1:38">
      <c r="A451" s="1">
        <v>5137749</v>
      </c>
      <c r="B451" s="1" t="s">
        <v>1509</v>
      </c>
      <c r="C451" s="1" t="str">
        <f>"9781292022192"</f>
        <v>9781292022192</v>
      </c>
      <c r="D451" s="1" t="str">
        <f>"9781292035390"</f>
        <v>9781292035390</v>
      </c>
      <c r="E451" s="1" t="s">
        <v>52</v>
      </c>
      <c r="F451" s="1" t="s">
        <v>40</v>
      </c>
      <c r="G451" s="3">
        <v>41482</v>
      </c>
      <c r="H451" s="3">
        <v>1</v>
      </c>
      <c r="I451" s="1" t="s">
        <v>41</v>
      </c>
      <c r="J451" s="1">
        <v>1</v>
      </c>
      <c r="L451" s="1" t="s">
        <v>1510</v>
      </c>
      <c r="M451" s="1" t="s">
        <v>59</v>
      </c>
      <c r="O451" s="1">
        <v>658.7</v>
      </c>
      <c r="Q451" s="1" t="s">
        <v>46</v>
      </c>
      <c r="R451" s="1" t="s">
        <v>47</v>
      </c>
      <c r="S451" s="1" t="s">
        <v>47</v>
      </c>
      <c r="T451" s="1" t="s">
        <v>48</v>
      </c>
      <c r="U451" s="1" t="s">
        <v>47</v>
      </c>
      <c r="V451" s="1" t="s">
        <v>47</v>
      </c>
      <c r="W451" s="1" t="s">
        <v>47</v>
      </c>
      <c r="Z451" s="1">
        <v>0</v>
      </c>
      <c r="AB451" s="1" t="s">
        <v>47</v>
      </c>
      <c r="AD451" s="1">
        <v>526987</v>
      </c>
      <c r="AF451" s="1" t="s">
        <v>47</v>
      </c>
      <c r="AG451" s="1" t="s">
        <v>47</v>
      </c>
      <c r="AH451" s="1" t="s">
        <v>49</v>
      </c>
      <c r="AI451" s="1" t="s">
        <v>47</v>
      </c>
      <c r="AK451" s="1" t="s">
        <v>48</v>
      </c>
      <c r="AL451" s="1" t="s">
        <v>1511</v>
      </c>
    </row>
    <row r="452" spans="1:38">
      <c r="A452" s="1">
        <v>5137750</v>
      </c>
      <c r="B452" s="1" t="s">
        <v>1512</v>
      </c>
      <c r="C452" s="1" t="str">
        <f>"9781292042640"</f>
        <v>9781292042640</v>
      </c>
      <c r="D452" s="1" t="str">
        <f>"9781292052939"</f>
        <v>9781292052939</v>
      </c>
      <c r="E452" s="1" t="s">
        <v>52</v>
      </c>
      <c r="F452" s="1" t="s">
        <v>40</v>
      </c>
      <c r="G452" s="3">
        <v>41579</v>
      </c>
      <c r="H452" s="3">
        <v>1</v>
      </c>
      <c r="I452" s="1" t="s">
        <v>41</v>
      </c>
      <c r="J452" s="1">
        <v>2</v>
      </c>
      <c r="L452" s="1" t="s">
        <v>1513</v>
      </c>
      <c r="M452" s="1" t="s">
        <v>468</v>
      </c>
      <c r="O452" s="1">
        <v>168</v>
      </c>
      <c r="Q452" s="1" t="s">
        <v>46</v>
      </c>
      <c r="R452" s="1" t="s">
        <v>47</v>
      </c>
      <c r="S452" s="1" t="s">
        <v>47</v>
      </c>
      <c r="T452" s="1" t="s">
        <v>48</v>
      </c>
      <c r="U452" s="1" t="s">
        <v>47</v>
      </c>
      <c r="V452" s="1" t="s">
        <v>47</v>
      </c>
      <c r="W452" s="1" t="s">
        <v>47</v>
      </c>
      <c r="Z452" s="1">
        <v>0</v>
      </c>
      <c r="AB452" s="1" t="s">
        <v>47</v>
      </c>
      <c r="AD452" s="1">
        <v>543326</v>
      </c>
      <c r="AF452" s="1" t="s">
        <v>47</v>
      </c>
      <c r="AG452" s="1" t="s">
        <v>47</v>
      </c>
      <c r="AH452" s="1" t="s">
        <v>49</v>
      </c>
      <c r="AI452" s="1" t="s">
        <v>47</v>
      </c>
      <c r="AK452" s="1" t="s">
        <v>48</v>
      </c>
      <c r="AL452" s="1" t="s">
        <v>1514</v>
      </c>
    </row>
    <row r="453" spans="1:38">
      <c r="A453" s="1">
        <v>5137751</v>
      </c>
      <c r="B453" s="1" t="s">
        <v>1515</v>
      </c>
      <c r="C453" s="1" t="str">
        <f>"9781292022598"</f>
        <v>9781292022598</v>
      </c>
      <c r="D453" s="1" t="str">
        <f>"9781292035796"</f>
        <v>9781292035796</v>
      </c>
      <c r="E453" s="1" t="s">
        <v>52</v>
      </c>
      <c r="F453" s="1" t="s">
        <v>40</v>
      </c>
      <c r="G453" s="3">
        <v>41486</v>
      </c>
      <c r="H453" s="3">
        <v>1</v>
      </c>
      <c r="I453" s="1" t="s">
        <v>41</v>
      </c>
      <c r="J453" s="1">
        <v>7</v>
      </c>
      <c r="L453" s="1" t="s">
        <v>534</v>
      </c>
      <c r="M453" s="1" t="s">
        <v>100</v>
      </c>
      <c r="O453" s="1">
        <v>155</v>
      </c>
      <c r="Q453" s="1" t="s">
        <v>46</v>
      </c>
      <c r="R453" s="1" t="s">
        <v>47</v>
      </c>
      <c r="S453" s="1" t="s">
        <v>47</v>
      </c>
      <c r="T453" s="1" t="s">
        <v>48</v>
      </c>
      <c r="U453" s="1" t="s">
        <v>47</v>
      </c>
      <c r="V453" s="1" t="s">
        <v>47</v>
      </c>
      <c r="W453" s="1" t="s">
        <v>47</v>
      </c>
      <c r="Z453" s="1">
        <v>0</v>
      </c>
      <c r="AB453" s="1" t="s">
        <v>47</v>
      </c>
      <c r="AD453" s="1">
        <v>527144</v>
      </c>
      <c r="AF453" s="1" t="s">
        <v>47</v>
      </c>
      <c r="AG453" s="1" t="s">
        <v>47</v>
      </c>
      <c r="AH453" s="1" t="s">
        <v>49</v>
      </c>
      <c r="AI453" s="1" t="s">
        <v>47</v>
      </c>
      <c r="AK453" s="1" t="s">
        <v>48</v>
      </c>
      <c r="AL453" s="1" t="s">
        <v>1516</v>
      </c>
    </row>
    <row r="454" spans="1:38">
      <c r="A454" s="1">
        <v>5137758</v>
      </c>
      <c r="B454" s="1" t="s">
        <v>1517</v>
      </c>
      <c r="C454" s="1" t="str">
        <f>"9781292022901"</f>
        <v>9781292022901</v>
      </c>
      <c r="D454" s="1" t="str">
        <f>"9781292036083"</f>
        <v>9781292036083</v>
      </c>
      <c r="E454" s="1" t="s">
        <v>52</v>
      </c>
      <c r="F454" s="1" t="s">
        <v>40</v>
      </c>
      <c r="G454" s="3">
        <v>41477</v>
      </c>
      <c r="H454" s="3">
        <v>1</v>
      </c>
      <c r="I454" s="1" t="s">
        <v>41</v>
      </c>
      <c r="J454" s="1">
        <v>4</v>
      </c>
      <c r="L454" s="1" t="s">
        <v>1518</v>
      </c>
      <c r="M454" s="1" t="s">
        <v>1519</v>
      </c>
      <c r="O454" s="1">
        <v>551.49</v>
      </c>
      <c r="Q454" s="1" t="s">
        <v>46</v>
      </c>
      <c r="R454" s="1" t="s">
        <v>47</v>
      </c>
      <c r="S454" s="1" t="s">
        <v>47</v>
      </c>
      <c r="T454" s="1" t="s">
        <v>48</v>
      </c>
      <c r="U454" s="1" t="s">
        <v>47</v>
      </c>
      <c r="V454" s="1" t="s">
        <v>47</v>
      </c>
      <c r="W454" s="1" t="s">
        <v>47</v>
      </c>
      <c r="Z454" s="1">
        <v>0</v>
      </c>
      <c r="AB454" s="1" t="s">
        <v>47</v>
      </c>
      <c r="AD454" s="1">
        <v>527343</v>
      </c>
      <c r="AF454" s="1" t="s">
        <v>47</v>
      </c>
      <c r="AG454" s="1" t="s">
        <v>47</v>
      </c>
      <c r="AH454" s="1" t="s">
        <v>49</v>
      </c>
      <c r="AI454" s="1" t="s">
        <v>47</v>
      </c>
      <c r="AK454" s="1" t="s">
        <v>48</v>
      </c>
      <c r="AL454" s="1" t="s">
        <v>1520</v>
      </c>
    </row>
    <row r="455" spans="1:38">
      <c r="A455" s="1">
        <v>5137774</v>
      </c>
      <c r="B455" s="1" t="s">
        <v>1521</v>
      </c>
      <c r="C455" s="1" t="str">
        <f>"9780273723431"</f>
        <v>9780273723431</v>
      </c>
      <c r="D455" s="1" t="str">
        <f>"9780273723455"</f>
        <v>9780273723455</v>
      </c>
      <c r="E455" s="1" t="s">
        <v>52</v>
      </c>
      <c r="F455" s="1" t="s">
        <v>67</v>
      </c>
      <c r="G455" s="3">
        <v>40179</v>
      </c>
      <c r="H455" s="3">
        <v>1</v>
      </c>
      <c r="I455" s="1" t="s">
        <v>41</v>
      </c>
      <c r="J455" s="1">
        <v>3</v>
      </c>
      <c r="L455" s="1" t="s">
        <v>1522</v>
      </c>
      <c r="M455" s="1" t="s">
        <v>1523</v>
      </c>
      <c r="N455" s="1" t="s">
        <v>791</v>
      </c>
      <c r="O455" s="1">
        <v>808.02</v>
      </c>
      <c r="P455" s="1" t="s">
        <v>1524</v>
      </c>
      <c r="Q455" s="1" t="s">
        <v>46</v>
      </c>
      <c r="R455" s="1" t="s">
        <v>47</v>
      </c>
      <c r="S455" s="1" t="s">
        <v>47</v>
      </c>
      <c r="T455" s="1" t="s">
        <v>48</v>
      </c>
      <c r="U455" s="1" t="s">
        <v>47</v>
      </c>
      <c r="V455" s="1" t="s">
        <v>47</v>
      </c>
      <c r="W455" s="1" t="s">
        <v>47</v>
      </c>
      <c r="Z455" s="1">
        <v>0</v>
      </c>
      <c r="AB455" s="1" t="s">
        <v>47</v>
      </c>
      <c r="AD455" s="1">
        <v>266403</v>
      </c>
      <c r="AF455" s="1" t="s">
        <v>47</v>
      </c>
      <c r="AG455" s="1" t="s">
        <v>47</v>
      </c>
      <c r="AH455" s="1" t="s">
        <v>49</v>
      </c>
      <c r="AI455" s="1" t="s">
        <v>47</v>
      </c>
      <c r="AK455" s="1" t="s">
        <v>48</v>
      </c>
      <c r="AL455" s="1" t="s">
        <v>1525</v>
      </c>
    </row>
    <row r="456" spans="1:38">
      <c r="A456" s="1">
        <v>5137779</v>
      </c>
      <c r="B456" s="1" t="s">
        <v>1526</v>
      </c>
      <c r="C456" s="1" t="str">
        <f>"9781292025667"</f>
        <v>9781292025667</v>
      </c>
      <c r="D456" s="1" t="str">
        <f>"9781292038094"</f>
        <v>9781292038094</v>
      </c>
      <c r="E456" s="1" t="s">
        <v>52</v>
      </c>
      <c r="F456" s="1" t="s">
        <v>40</v>
      </c>
      <c r="G456" s="3">
        <v>41484</v>
      </c>
      <c r="H456" s="3">
        <v>1</v>
      </c>
      <c r="I456" s="1" t="s">
        <v>41</v>
      </c>
      <c r="J456" s="1">
        <v>9</v>
      </c>
      <c r="L456" s="1" t="s">
        <v>540</v>
      </c>
      <c r="M456" s="1" t="s">
        <v>1527</v>
      </c>
      <c r="O456" s="1">
        <v>621.31920000000002</v>
      </c>
      <c r="Q456" s="1" t="s">
        <v>46</v>
      </c>
      <c r="R456" s="1" t="s">
        <v>47</v>
      </c>
      <c r="S456" s="1" t="s">
        <v>47</v>
      </c>
      <c r="T456" s="1" t="s">
        <v>48</v>
      </c>
      <c r="U456" s="1" t="s">
        <v>47</v>
      </c>
      <c r="V456" s="1" t="s">
        <v>47</v>
      </c>
      <c r="W456" s="1" t="s">
        <v>47</v>
      </c>
      <c r="Z456" s="1">
        <v>0</v>
      </c>
      <c r="AB456" s="1" t="s">
        <v>47</v>
      </c>
      <c r="AD456" s="1">
        <v>527103</v>
      </c>
      <c r="AF456" s="1" t="s">
        <v>47</v>
      </c>
      <c r="AG456" s="1" t="s">
        <v>47</v>
      </c>
      <c r="AH456" s="1" t="s">
        <v>49</v>
      </c>
      <c r="AI456" s="1" t="s">
        <v>47</v>
      </c>
      <c r="AK456" s="1" t="s">
        <v>48</v>
      </c>
      <c r="AL456" s="1" t="s">
        <v>1528</v>
      </c>
    </row>
    <row r="457" spans="1:38">
      <c r="A457" s="1">
        <v>5137780</v>
      </c>
      <c r="B457" s="1" t="s">
        <v>539</v>
      </c>
      <c r="C457" s="1" t="str">
        <f>"9781292027241"</f>
        <v>9781292027241</v>
      </c>
      <c r="D457" s="1" t="str">
        <f>"9781292052960"</f>
        <v>9781292052960</v>
      </c>
      <c r="E457" s="1" t="s">
        <v>52</v>
      </c>
      <c r="F457" s="1" t="s">
        <v>40</v>
      </c>
      <c r="G457" s="3">
        <v>41579</v>
      </c>
      <c r="H457" s="3">
        <v>1</v>
      </c>
      <c r="I457" s="1" t="s">
        <v>41</v>
      </c>
      <c r="J457" s="1">
        <v>1</v>
      </c>
      <c r="L457" s="1" t="s">
        <v>540</v>
      </c>
      <c r="M457" s="1" t="s">
        <v>280</v>
      </c>
      <c r="O457" s="1">
        <v>621.39499999999998</v>
      </c>
      <c r="Q457" s="1" t="s">
        <v>46</v>
      </c>
      <c r="R457" s="1" t="s">
        <v>47</v>
      </c>
      <c r="S457" s="1" t="s">
        <v>47</v>
      </c>
      <c r="T457" s="1" t="s">
        <v>48</v>
      </c>
      <c r="U457" s="1" t="s">
        <v>47</v>
      </c>
      <c r="V457" s="1" t="s">
        <v>47</v>
      </c>
      <c r="W457" s="1" t="s">
        <v>47</v>
      </c>
      <c r="Z457" s="1">
        <v>0</v>
      </c>
      <c r="AB457" s="1" t="s">
        <v>47</v>
      </c>
      <c r="AD457" s="1">
        <v>543456</v>
      </c>
      <c r="AF457" s="1" t="s">
        <v>47</v>
      </c>
      <c r="AG457" s="1" t="s">
        <v>47</v>
      </c>
      <c r="AH457" s="1" t="s">
        <v>49</v>
      </c>
      <c r="AI457" s="1" t="s">
        <v>47</v>
      </c>
      <c r="AK457" s="1" t="s">
        <v>48</v>
      </c>
      <c r="AL457" s="1" t="s">
        <v>1529</v>
      </c>
    </row>
    <row r="458" spans="1:38">
      <c r="A458" s="1">
        <v>5137781</v>
      </c>
      <c r="B458" s="1" t="s">
        <v>1530</v>
      </c>
      <c r="C458" s="1" t="str">
        <f>"9781292025643"</f>
        <v>9781292025643</v>
      </c>
      <c r="D458" s="1" t="str">
        <f>"9781292038070"</f>
        <v>9781292038070</v>
      </c>
      <c r="E458" s="1" t="s">
        <v>52</v>
      </c>
      <c r="F458" s="1" t="s">
        <v>40</v>
      </c>
      <c r="G458" s="3">
        <v>41481</v>
      </c>
      <c r="H458" s="3">
        <v>1</v>
      </c>
      <c r="I458" s="1" t="s">
        <v>41</v>
      </c>
      <c r="J458" s="1">
        <v>9</v>
      </c>
      <c r="L458" s="1" t="s">
        <v>1531</v>
      </c>
      <c r="M458" s="1" t="s">
        <v>1527</v>
      </c>
      <c r="O458" s="1">
        <v>621.38099999999997</v>
      </c>
      <c r="Q458" s="1" t="s">
        <v>46</v>
      </c>
      <c r="R458" s="1" t="s">
        <v>47</v>
      </c>
      <c r="S458" s="1" t="s">
        <v>47</v>
      </c>
      <c r="T458" s="1" t="s">
        <v>48</v>
      </c>
      <c r="U458" s="1" t="s">
        <v>47</v>
      </c>
      <c r="V458" s="1" t="s">
        <v>47</v>
      </c>
      <c r="W458" s="1" t="s">
        <v>47</v>
      </c>
      <c r="Z458" s="1">
        <v>0</v>
      </c>
      <c r="AB458" s="1" t="s">
        <v>47</v>
      </c>
      <c r="AD458" s="1">
        <v>527094</v>
      </c>
      <c r="AF458" s="1" t="s">
        <v>47</v>
      </c>
      <c r="AG458" s="1" t="s">
        <v>47</v>
      </c>
      <c r="AH458" s="1" t="s">
        <v>49</v>
      </c>
      <c r="AI458" s="1" t="s">
        <v>47</v>
      </c>
      <c r="AK458" s="1" t="s">
        <v>48</v>
      </c>
      <c r="AL458" s="1" t="s">
        <v>1532</v>
      </c>
    </row>
    <row r="459" spans="1:38">
      <c r="A459" s="1">
        <v>5137782</v>
      </c>
      <c r="B459" s="1" t="s">
        <v>1533</v>
      </c>
      <c r="C459" s="1" t="str">
        <f>"9781292040530"</f>
        <v>9781292040530</v>
      </c>
      <c r="D459" s="1" t="str">
        <f>"9781292052953"</f>
        <v>9781292052953</v>
      </c>
      <c r="E459" s="1" t="s">
        <v>52</v>
      </c>
      <c r="F459" s="1" t="s">
        <v>40</v>
      </c>
      <c r="G459" s="3">
        <v>41579</v>
      </c>
      <c r="H459" s="3">
        <v>1</v>
      </c>
      <c r="I459" s="1" t="s">
        <v>41</v>
      </c>
      <c r="J459" s="1">
        <v>9</v>
      </c>
      <c r="L459" s="1" t="s">
        <v>1531</v>
      </c>
      <c r="Q459" s="1" t="s">
        <v>46</v>
      </c>
      <c r="R459" s="1" t="s">
        <v>47</v>
      </c>
      <c r="S459" s="1" t="s">
        <v>47</v>
      </c>
      <c r="T459" s="1" t="s">
        <v>48</v>
      </c>
      <c r="U459" s="1" t="s">
        <v>47</v>
      </c>
      <c r="V459" s="1" t="s">
        <v>47</v>
      </c>
      <c r="W459" s="1" t="s">
        <v>47</v>
      </c>
      <c r="Z459" s="1">
        <v>0</v>
      </c>
      <c r="AB459" s="1" t="s">
        <v>47</v>
      </c>
      <c r="AD459" s="1">
        <v>543383</v>
      </c>
      <c r="AF459" s="1" t="s">
        <v>47</v>
      </c>
      <c r="AG459" s="1" t="s">
        <v>47</v>
      </c>
      <c r="AH459" s="1" t="s">
        <v>49</v>
      </c>
      <c r="AI459" s="1" t="s">
        <v>47</v>
      </c>
      <c r="AK459" s="1" t="s">
        <v>48</v>
      </c>
      <c r="AL459" s="1" t="s">
        <v>1534</v>
      </c>
    </row>
    <row r="460" spans="1:38">
      <c r="A460" s="1">
        <v>5137783</v>
      </c>
      <c r="B460" s="1" t="s">
        <v>1535</v>
      </c>
      <c r="C460" s="1" t="str">
        <f>"9781292025681"</f>
        <v>9781292025681</v>
      </c>
      <c r="D460" s="1" t="str">
        <f>"9781292038117"</f>
        <v>9781292038117</v>
      </c>
      <c r="E460" s="1" t="s">
        <v>52</v>
      </c>
      <c r="F460" s="1" t="s">
        <v>40</v>
      </c>
      <c r="G460" s="3">
        <v>41484</v>
      </c>
      <c r="H460" s="3">
        <v>1</v>
      </c>
      <c r="I460" s="1" t="s">
        <v>41</v>
      </c>
      <c r="J460" s="1">
        <v>8</v>
      </c>
      <c r="L460" s="1" t="s">
        <v>1536</v>
      </c>
      <c r="M460" s="1" t="s">
        <v>1527</v>
      </c>
      <c r="O460" s="1">
        <v>621.38099999999997</v>
      </c>
      <c r="Q460" s="1" t="s">
        <v>46</v>
      </c>
      <c r="R460" s="1" t="s">
        <v>47</v>
      </c>
      <c r="S460" s="1" t="s">
        <v>47</v>
      </c>
      <c r="T460" s="1" t="s">
        <v>48</v>
      </c>
      <c r="U460" s="1" t="s">
        <v>47</v>
      </c>
      <c r="V460" s="1" t="s">
        <v>47</v>
      </c>
      <c r="W460" s="1" t="s">
        <v>47</v>
      </c>
      <c r="Z460" s="1">
        <v>0</v>
      </c>
      <c r="AB460" s="1" t="s">
        <v>47</v>
      </c>
      <c r="AD460" s="1">
        <v>527109</v>
      </c>
      <c r="AF460" s="1" t="s">
        <v>47</v>
      </c>
      <c r="AG460" s="1" t="s">
        <v>47</v>
      </c>
      <c r="AH460" s="1" t="s">
        <v>49</v>
      </c>
      <c r="AI460" s="1" t="s">
        <v>47</v>
      </c>
      <c r="AK460" s="1" t="s">
        <v>48</v>
      </c>
      <c r="AL460" s="1" t="s">
        <v>1537</v>
      </c>
    </row>
    <row r="461" spans="1:38">
      <c r="A461" s="1">
        <v>5137785</v>
      </c>
      <c r="B461" s="1" t="s">
        <v>1538</v>
      </c>
      <c r="C461" s="1" t="str">
        <f>"9780273737254"</f>
        <v>9780273737254</v>
      </c>
      <c r="D461" s="1" t="str">
        <f>"9780273737278"</f>
        <v>9780273737278</v>
      </c>
      <c r="E461" s="1" t="s">
        <v>52</v>
      </c>
      <c r="F461" s="1" t="s">
        <v>157</v>
      </c>
      <c r="G461" s="3">
        <v>40745</v>
      </c>
      <c r="H461" s="3">
        <v>1</v>
      </c>
      <c r="I461" s="1" t="s">
        <v>41</v>
      </c>
      <c r="J461" s="1">
        <v>1</v>
      </c>
      <c r="K461" s="1" t="s">
        <v>1539</v>
      </c>
      <c r="L461" s="1" t="s">
        <v>1540</v>
      </c>
      <c r="M461" s="1" t="s">
        <v>100</v>
      </c>
      <c r="N461" s="1" t="s">
        <v>224</v>
      </c>
      <c r="O461" s="1">
        <v>150.72</v>
      </c>
      <c r="P461" s="1" t="s">
        <v>1541</v>
      </c>
      <c r="Q461" s="1" t="s">
        <v>46</v>
      </c>
      <c r="R461" s="1" t="s">
        <v>47</v>
      </c>
      <c r="S461" s="1" t="s">
        <v>47</v>
      </c>
      <c r="T461" s="1" t="s">
        <v>48</v>
      </c>
      <c r="U461" s="1" t="s">
        <v>47</v>
      </c>
      <c r="V461" s="1" t="s">
        <v>47</v>
      </c>
      <c r="W461" s="1" t="s">
        <v>47</v>
      </c>
      <c r="Z461" s="1">
        <v>0</v>
      </c>
      <c r="AB461" s="1" t="s">
        <v>47</v>
      </c>
      <c r="AD461" s="1">
        <v>333399</v>
      </c>
      <c r="AF461" s="1" t="s">
        <v>47</v>
      </c>
      <c r="AG461" s="1" t="s">
        <v>47</v>
      </c>
      <c r="AH461" s="1" t="s">
        <v>49</v>
      </c>
      <c r="AI461" s="1" t="s">
        <v>47</v>
      </c>
      <c r="AK461" s="1" t="s">
        <v>48</v>
      </c>
      <c r="AL461" s="1" t="s">
        <v>1542</v>
      </c>
    </row>
    <row r="462" spans="1:38">
      <c r="A462" s="1">
        <v>5137791</v>
      </c>
      <c r="B462" s="1" t="s">
        <v>1543</v>
      </c>
      <c r="C462" s="1" t="str">
        <f>"9781292041605"</f>
        <v>9781292041605</v>
      </c>
      <c r="D462" s="1" t="str">
        <f>"9781292052977"</f>
        <v>9781292052977</v>
      </c>
      <c r="E462" s="1" t="s">
        <v>52</v>
      </c>
      <c r="F462" s="1" t="s">
        <v>40</v>
      </c>
      <c r="G462" s="3">
        <v>41579</v>
      </c>
      <c r="H462" s="3">
        <v>1</v>
      </c>
      <c r="I462" s="1" t="s">
        <v>41</v>
      </c>
      <c r="J462" s="1">
        <v>4</v>
      </c>
      <c r="L462" s="1" t="s">
        <v>1544</v>
      </c>
      <c r="M462" s="1" t="s">
        <v>54</v>
      </c>
      <c r="O462" s="1">
        <v>379.73</v>
      </c>
      <c r="Q462" s="1" t="s">
        <v>46</v>
      </c>
      <c r="R462" s="1" t="s">
        <v>47</v>
      </c>
      <c r="S462" s="1" t="s">
        <v>47</v>
      </c>
      <c r="T462" s="1" t="s">
        <v>48</v>
      </c>
      <c r="U462" s="1" t="s">
        <v>47</v>
      </c>
      <c r="V462" s="1" t="s">
        <v>47</v>
      </c>
      <c r="W462" s="1" t="s">
        <v>47</v>
      </c>
      <c r="Z462" s="1">
        <v>0</v>
      </c>
      <c r="AB462" s="1" t="s">
        <v>47</v>
      </c>
      <c r="AD462" s="1">
        <v>543402</v>
      </c>
      <c r="AF462" s="1" t="s">
        <v>47</v>
      </c>
      <c r="AG462" s="1" t="s">
        <v>47</v>
      </c>
      <c r="AH462" s="1" t="s">
        <v>49</v>
      </c>
      <c r="AI462" s="1" t="s">
        <v>47</v>
      </c>
      <c r="AK462" s="1" t="s">
        <v>48</v>
      </c>
      <c r="AL462" s="1" t="s">
        <v>1545</v>
      </c>
    </row>
    <row r="463" spans="1:38">
      <c r="A463" s="1">
        <v>5137797</v>
      </c>
      <c r="B463" s="1" t="s">
        <v>1546</v>
      </c>
      <c r="C463" s="1" t="str">
        <f>""</f>
        <v/>
      </c>
      <c r="D463" s="1" t="str">
        <f>"9780273778530"</f>
        <v>9780273778530</v>
      </c>
      <c r="E463" s="1" t="s">
        <v>52</v>
      </c>
      <c r="F463" s="1" t="s">
        <v>57</v>
      </c>
      <c r="G463" s="3">
        <v>41513</v>
      </c>
      <c r="H463" s="3">
        <v>1</v>
      </c>
      <c r="I463" s="1" t="s">
        <v>41</v>
      </c>
      <c r="J463" s="1">
        <v>1</v>
      </c>
      <c r="L463" s="1" t="s">
        <v>1547</v>
      </c>
      <c r="Q463" s="1" t="s">
        <v>46</v>
      </c>
      <c r="R463" s="1" t="s">
        <v>47</v>
      </c>
      <c r="S463" s="1" t="s">
        <v>47</v>
      </c>
      <c r="T463" s="1" t="s">
        <v>48</v>
      </c>
      <c r="U463" s="1" t="s">
        <v>47</v>
      </c>
      <c r="V463" s="1" t="s">
        <v>47</v>
      </c>
      <c r="W463" s="1" t="s">
        <v>47</v>
      </c>
      <c r="Z463" s="1">
        <v>0</v>
      </c>
      <c r="AB463" s="1" t="s">
        <v>47</v>
      </c>
      <c r="AD463" s="1">
        <v>511600</v>
      </c>
      <c r="AF463" s="1" t="s">
        <v>47</v>
      </c>
      <c r="AG463" s="1" t="s">
        <v>47</v>
      </c>
      <c r="AH463" s="1" t="s">
        <v>49</v>
      </c>
      <c r="AI463" s="1" t="s">
        <v>47</v>
      </c>
      <c r="AK463" s="1" t="s">
        <v>48</v>
      </c>
      <c r="AL463" s="1" t="s">
        <v>1548</v>
      </c>
    </row>
    <row r="464" spans="1:38">
      <c r="A464" s="1">
        <v>5137798</v>
      </c>
      <c r="B464" s="1" t="s">
        <v>1549</v>
      </c>
      <c r="C464" s="1" t="str">
        <f>"9781292041643"</f>
        <v>9781292041643</v>
      </c>
      <c r="D464" s="1" t="str">
        <f>"9781292052991"</f>
        <v>9781292052991</v>
      </c>
      <c r="E464" s="1" t="s">
        <v>52</v>
      </c>
      <c r="F464" s="1" t="s">
        <v>40</v>
      </c>
      <c r="G464" s="3">
        <v>41579</v>
      </c>
      <c r="H464" s="3">
        <v>1</v>
      </c>
      <c r="I464" s="1" t="s">
        <v>41</v>
      </c>
      <c r="J464" s="1">
        <v>10</v>
      </c>
      <c r="L464" s="1" t="s">
        <v>1550</v>
      </c>
      <c r="M464" s="1" t="s">
        <v>54</v>
      </c>
      <c r="O464" s="1">
        <v>372.21097300000002</v>
      </c>
      <c r="Q464" s="1" t="s">
        <v>46</v>
      </c>
      <c r="R464" s="1" t="s">
        <v>47</v>
      </c>
      <c r="S464" s="1" t="s">
        <v>47</v>
      </c>
      <c r="T464" s="1" t="s">
        <v>48</v>
      </c>
      <c r="U464" s="1" t="s">
        <v>47</v>
      </c>
      <c r="V464" s="1" t="s">
        <v>47</v>
      </c>
      <c r="W464" s="1" t="s">
        <v>47</v>
      </c>
      <c r="Z464" s="1">
        <v>0</v>
      </c>
      <c r="AB464" s="1" t="s">
        <v>47</v>
      </c>
      <c r="AD464" s="1">
        <v>543457</v>
      </c>
      <c r="AF464" s="1" t="s">
        <v>47</v>
      </c>
      <c r="AG464" s="1" t="s">
        <v>47</v>
      </c>
      <c r="AH464" s="1" t="s">
        <v>49</v>
      </c>
      <c r="AI464" s="1" t="s">
        <v>47</v>
      </c>
      <c r="AK464" s="1" t="s">
        <v>48</v>
      </c>
      <c r="AL464" s="1" t="s">
        <v>1551</v>
      </c>
    </row>
    <row r="465" spans="1:38">
      <c r="A465" s="1">
        <v>5137799</v>
      </c>
      <c r="B465" s="1" t="s">
        <v>1552</v>
      </c>
      <c r="C465" s="1" t="str">
        <f>"9781292040080"</f>
        <v>9781292040080</v>
      </c>
      <c r="D465" s="1" t="str">
        <f>"9781292053004"</f>
        <v>9781292053004</v>
      </c>
      <c r="E465" s="1" t="s">
        <v>52</v>
      </c>
      <c r="F465" s="1" t="s">
        <v>40</v>
      </c>
      <c r="G465" s="3">
        <v>41579</v>
      </c>
      <c r="H465" s="3">
        <v>1</v>
      </c>
      <c r="I465" s="1" t="s">
        <v>41</v>
      </c>
      <c r="J465" s="1">
        <v>10</v>
      </c>
      <c r="L465" s="1" t="s">
        <v>1553</v>
      </c>
      <c r="M465" s="1" t="s">
        <v>59</v>
      </c>
      <c r="O465" s="1">
        <v>657.83504500000004</v>
      </c>
      <c r="Q465" s="1" t="s">
        <v>46</v>
      </c>
      <c r="R465" s="1" t="s">
        <v>47</v>
      </c>
      <c r="S465" s="1" t="s">
        <v>47</v>
      </c>
      <c r="T465" s="1" t="s">
        <v>48</v>
      </c>
      <c r="U465" s="1" t="s">
        <v>47</v>
      </c>
      <c r="V465" s="1" t="s">
        <v>47</v>
      </c>
      <c r="W465" s="1" t="s">
        <v>47</v>
      </c>
      <c r="Z465" s="1">
        <v>0</v>
      </c>
      <c r="AB465" s="1" t="s">
        <v>47</v>
      </c>
      <c r="AD465" s="1">
        <v>543638</v>
      </c>
      <c r="AF465" s="1" t="s">
        <v>47</v>
      </c>
      <c r="AG465" s="1" t="s">
        <v>47</v>
      </c>
      <c r="AH465" s="1" t="s">
        <v>49</v>
      </c>
      <c r="AI465" s="1" t="s">
        <v>47</v>
      </c>
      <c r="AK465" s="1" t="s">
        <v>48</v>
      </c>
      <c r="AL465" s="1" t="s">
        <v>1554</v>
      </c>
    </row>
    <row r="466" spans="1:38">
      <c r="A466" s="1">
        <v>5137801</v>
      </c>
      <c r="B466" s="1" t="s">
        <v>1555</v>
      </c>
      <c r="C466" s="1" t="str">
        <f>"9781292026398"</f>
        <v>9781292026398</v>
      </c>
      <c r="D466" s="1" t="str">
        <f>"9781292038780"</f>
        <v>9781292038780</v>
      </c>
      <c r="E466" s="1" t="s">
        <v>52</v>
      </c>
      <c r="F466" s="1" t="s">
        <v>40</v>
      </c>
      <c r="G466" s="3">
        <v>41515</v>
      </c>
      <c r="H466" s="3">
        <v>1</v>
      </c>
      <c r="I466" s="1" t="s">
        <v>41</v>
      </c>
      <c r="J466" s="1">
        <v>5</v>
      </c>
      <c r="L466" s="1" t="s">
        <v>1556</v>
      </c>
      <c r="M466" s="1" t="s">
        <v>1010</v>
      </c>
      <c r="O466" s="1">
        <v>570</v>
      </c>
      <c r="Q466" s="1" t="s">
        <v>46</v>
      </c>
      <c r="R466" s="1" t="s">
        <v>47</v>
      </c>
      <c r="S466" s="1" t="s">
        <v>47</v>
      </c>
      <c r="T466" s="1" t="s">
        <v>48</v>
      </c>
      <c r="U466" s="1" t="s">
        <v>47</v>
      </c>
      <c r="V466" s="1" t="s">
        <v>47</v>
      </c>
      <c r="W466" s="1" t="s">
        <v>47</v>
      </c>
      <c r="Z466" s="1">
        <v>0</v>
      </c>
      <c r="AB466" s="1" t="s">
        <v>47</v>
      </c>
      <c r="AD466" s="1">
        <v>527384</v>
      </c>
      <c r="AF466" s="1" t="s">
        <v>47</v>
      </c>
      <c r="AG466" s="1" t="s">
        <v>47</v>
      </c>
      <c r="AH466" s="1" t="s">
        <v>49</v>
      </c>
      <c r="AI466" s="1" t="s">
        <v>47</v>
      </c>
      <c r="AK466" s="1" t="s">
        <v>48</v>
      </c>
      <c r="AL466" s="1" t="s">
        <v>1557</v>
      </c>
    </row>
    <row r="467" spans="1:38">
      <c r="A467" s="1">
        <v>5137805</v>
      </c>
      <c r="B467" s="1" t="s">
        <v>1558</v>
      </c>
      <c r="C467" s="1" t="str">
        <f>"9781292039091"</f>
        <v>9781292039091</v>
      </c>
      <c r="D467" s="1" t="str">
        <f>"9781292053028"</f>
        <v>9781292053028</v>
      </c>
      <c r="E467" s="1" t="s">
        <v>52</v>
      </c>
      <c r="F467" s="1" t="s">
        <v>40</v>
      </c>
      <c r="G467" s="3">
        <v>41579</v>
      </c>
      <c r="H467" s="3">
        <v>1</v>
      </c>
      <c r="I467" s="1" t="s">
        <v>41</v>
      </c>
      <c r="J467" s="1">
        <v>12</v>
      </c>
      <c r="L467" s="1" t="s">
        <v>1559</v>
      </c>
      <c r="M467" s="1" t="s">
        <v>242</v>
      </c>
      <c r="O467" s="1">
        <v>519.5</v>
      </c>
      <c r="Q467" s="1" t="s">
        <v>46</v>
      </c>
      <c r="R467" s="1" t="s">
        <v>47</v>
      </c>
      <c r="S467" s="1" t="s">
        <v>47</v>
      </c>
      <c r="T467" s="1" t="s">
        <v>48</v>
      </c>
      <c r="U467" s="1" t="s">
        <v>47</v>
      </c>
      <c r="V467" s="1" t="s">
        <v>47</v>
      </c>
      <c r="W467" s="1" t="s">
        <v>47</v>
      </c>
      <c r="Z467" s="1">
        <v>0</v>
      </c>
      <c r="AB467" s="1" t="s">
        <v>47</v>
      </c>
      <c r="AD467" s="1">
        <v>543363</v>
      </c>
      <c r="AF467" s="1" t="s">
        <v>47</v>
      </c>
      <c r="AG467" s="1" t="s">
        <v>47</v>
      </c>
      <c r="AH467" s="1" t="s">
        <v>49</v>
      </c>
      <c r="AI467" s="1" t="s">
        <v>47</v>
      </c>
      <c r="AK467" s="1" t="s">
        <v>48</v>
      </c>
      <c r="AL467" s="1" t="s">
        <v>1560</v>
      </c>
    </row>
    <row r="468" spans="1:38">
      <c r="A468" s="1">
        <v>5137806</v>
      </c>
      <c r="B468" s="1" t="s">
        <v>1561</v>
      </c>
      <c r="C468" s="1" t="str">
        <f>"9781292026503"</f>
        <v>9781292026503</v>
      </c>
      <c r="D468" s="1" t="str">
        <f>"9781292038896"</f>
        <v>9781292038896</v>
      </c>
      <c r="E468" s="1" t="s">
        <v>52</v>
      </c>
      <c r="F468" s="1" t="s">
        <v>40</v>
      </c>
      <c r="G468" s="3">
        <v>41478</v>
      </c>
      <c r="H468" s="3">
        <v>1</v>
      </c>
      <c r="I468" s="1" t="s">
        <v>41</v>
      </c>
      <c r="J468" s="1">
        <v>4</v>
      </c>
      <c r="L468" s="1" t="s">
        <v>1562</v>
      </c>
      <c r="M468" s="1" t="s">
        <v>242</v>
      </c>
      <c r="O468" s="1">
        <v>512.5</v>
      </c>
      <c r="Q468" s="1" t="s">
        <v>46</v>
      </c>
      <c r="R468" s="1" t="s">
        <v>47</v>
      </c>
      <c r="S468" s="1" t="s">
        <v>47</v>
      </c>
      <c r="T468" s="1" t="s">
        <v>48</v>
      </c>
      <c r="U468" s="1" t="s">
        <v>47</v>
      </c>
      <c r="V468" s="1" t="s">
        <v>47</v>
      </c>
      <c r="W468" s="1" t="s">
        <v>47</v>
      </c>
      <c r="Z468" s="1">
        <v>0</v>
      </c>
      <c r="AB468" s="1" t="s">
        <v>47</v>
      </c>
      <c r="AD468" s="1">
        <v>527267</v>
      </c>
      <c r="AF468" s="1" t="s">
        <v>47</v>
      </c>
      <c r="AG468" s="1" t="s">
        <v>47</v>
      </c>
      <c r="AH468" s="1" t="s">
        <v>49</v>
      </c>
      <c r="AI468" s="1" t="s">
        <v>47</v>
      </c>
      <c r="AK468" s="1" t="s">
        <v>48</v>
      </c>
      <c r="AL468" s="1" t="s">
        <v>1563</v>
      </c>
    </row>
    <row r="469" spans="1:38">
      <c r="A469" s="1">
        <v>5137807</v>
      </c>
      <c r="B469" s="1" t="s">
        <v>1564</v>
      </c>
      <c r="C469" s="1" t="str">
        <f>"9781292042152"</f>
        <v>9781292042152</v>
      </c>
      <c r="D469" s="1" t="str">
        <f>"9781292053035"</f>
        <v>9781292053035</v>
      </c>
      <c r="E469" s="1" t="s">
        <v>52</v>
      </c>
      <c r="F469" s="1" t="s">
        <v>40</v>
      </c>
      <c r="G469" s="3">
        <v>41579</v>
      </c>
      <c r="H469" s="3">
        <v>1</v>
      </c>
      <c r="I469" s="1" t="s">
        <v>41</v>
      </c>
      <c r="J469" s="1">
        <v>7</v>
      </c>
      <c r="L469" s="1" t="s">
        <v>1565</v>
      </c>
      <c r="M469" s="1" t="s">
        <v>1566</v>
      </c>
      <c r="O469" s="1">
        <v>70.44</v>
      </c>
      <c r="Q469" s="1" t="s">
        <v>46</v>
      </c>
      <c r="R469" s="1" t="s">
        <v>47</v>
      </c>
      <c r="S469" s="1" t="s">
        <v>47</v>
      </c>
      <c r="T469" s="1" t="s">
        <v>48</v>
      </c>
      <c r="U469" s="1" t="s">
        <v>47</v>
      </c>
      <c r="V469" s="1" t="s">
        <v>47</v>
      </c>
      <c r="W469" s="1" t="s">
        <v>47</v>
      </c>
      <c r="Z469" s="1">
        <v>0</v>
      </c>
      <c r="AB469" s="1" t="s">
        <v>47</v>
      </c>
      <c r="AD469" s="1">
        <v>543356</v>
      </c>
      <c r="AF469" s="1" t="s">
        <v>47</v>
      </c>
      <c r="AG469" s="1" t="s">
        <v>47</v>
      </c>
      <c r="AH469" s="1" t="s">
        <v>49</v>
      </c>
      <c r="AI469" s="1" t="s">
        <v>47</v>
      </c>
      <c r="AK469" s="1" t="s">
        <v>48</v>
      </c>
      <c r="AL469" s="1" t="s">
        <v>1567</v>
      </c>
    </row>
    <row r="470" spans="1:38">
      <c r="A470" s="1">
        <v>5137808</v>
      </c>
      <c r="B470" s="1" t="s">
        <v>1568</v>
      </c>
      <c r="C470" s="1" t="str">
        <f>"9781292022253"</f>
        <v>9781292022253</v>
      </c>
      <c r="D470" s="1" t="str">
        <f>"9781292035451"</f>
        <v>9781292035451</v>
      </c>
      <c r="E470" s="1" t="s">
        <v>52</v>
      </c>
      <c r="F470" s="1" t="s">
        <v>40</v>
      </c>
      <c r="G470" s="3">
        <v>41478</v>
      </c>
      <c r="H470" s="3">
        <v>1</v>
      </c>
      <c r="I470" s="1" t="s">
        <v>41</v>
      </c>
      <c r="J470" s="1">
        <v>5</v>
      </c>
      <c r="L470" s="1" t="s">
        <v>1569</v>
      </c>
      <c r="M470" s="1" t="s">
        <v>100</v>
      </c>
      <c r="O470" s="1">
        <v>155.19999999999999</v>
      </c>
      <c r="Q470" s="1" t="s">
        <v>46</v>
      </c>
      <c r="R470" s="1" t="s">
        <v>47</v>
      </c>
      <c r="S470" s="1" t="s">
        <v>47</v>
      </c>
      <c r="T470" s="1" t="s">
        <v>48</v>
      </c>
      <c r="U470" s="1" t="s">
        <v>47</v>
      </c>
      <c r="V470" s="1" t="s">
        <v>47</v>
      </c>
      <c r="W470" s="1" t="s">
        <v>47</v>
      </c>
      <c r="Z470" s="1">
        <v>0</v>
      </c>
      <c r="AB470" s="1" t="s">
        <v>47</v>
      </c>
      <c r="AD470" s="1">
        <v>526985</v>
      </c>
      <c r="AF470" s="1" t="s">
        <v>47</v>
      </c>
      <c r="AG470" s="1" t="s">
        <v>47</v>
      </c>
      <c r="AH470" s="1" t="s">
        <v>49</v>
      </c>
      <c r="AI470" s="1" t="s">
        <v>47</v>
      </c>
      <c r="AK470" s="1" t="s">
        <v>48</v>
      </c>
      <c r="AL470" s="1" t="s">
        <v>1570</v>
      </c>
    </row>
    <row r="471" spans="1:38">
      <c r="A471" s="1">
        <v>5137810</v>
      </c>
      <c r="B471" s="1" t="s">
        <v>1571</v>
      </c>
      <c r="C471" s="1" t="str">
        <f>"9781292041674"</f>
        <v>9781292041674</v>
      </c>
      <c r="D471" s="1" t="str">
        <f>"9781292053042"</f>
        <v>9781292053042</v>
      </c>
      <c r="E471" s="1" t="s">
        <v>52</v>
      </c>
      <c r="F471" s="1" t="s">
        <v>40</v>
      </c>
      <c r="G471" s="3">
        <v>41579</v>
      </c>
      <c r="H471" s="3">
        <v>1</v>
      </c>
      <c r="I471" s="1" t="s">
        <v>41</v>
      </c>
      <c r="J471" s="1">
        <v>7</v>
      </c>
      <c r="L471" s="1" t="s">
        <v>1572</v>
      </c>
      <c r="M471" s="1" t="s">
        <v>54</v>
      </c>
      <c r="O471" s="1">
        <v>379.1</v>
      </c>
      <c r="Q471" s="1" t="s">
        <v>46</v>
      </c>
      <c r="R471" s="1" t="s">
        <v>47</v>
      </c>
      <c r="S471" s="1" t="s">
        <v>47</v>
      </c>
      <c r="T471" s="1" t="s">
        <v>48</v>
      </c>
      <c r="U471" s="1" t="s">
        <v>47</v>
      </c>
      <c r="V471" s="1" t="s">
        <v>47</v>
      </c>
      <c r="W471" s="1" t="s">
        <v>47</v>
      </c>
      <c r="Z471" s="1">
        <v>0</v>
      </c>
      <c r="AB471" s="1" t="s">
        <v>47</v>
      </c>
      <c r="AD471" s="1">
        <v>543434</v>
      </c>
      <c r="AF471" s="1" t="s">
        <v>47</v>
      </c>
      <c r="AG471" s="1" t="s">
        <v>47</v>
      </c>
      <c r="AH471" s="1" t="s">
        <v>49</v>
      </c>
      <c r="AI471" s="1" t="s">
        <v>47</v>
      </c>
      <c r="AK471" s="1" t="s">
        <v>48</v>
      </c>
      <c r="AL471" s="1" t="s">
        <v>1573</v>
      </c>
    </row>
    <row r="472" spans="1:38">
      <c r="A472" s="1">
        <v>5137813</v>
      </c>
      <c r="B472" s="1" t="s">
        <v>1574</v>
      </c>
      <c r="C472" s="1" t="str">
        <f>"9781292040172"</f>
        <v>9781292040172</v>
      </c>
      <c r="D472" s="1" t="str">
        <f>"9781292053066"</f>
        <v>9781292053066</v>
      </c>
      <c r="E472" s="1" t="s">
        <v>52</v>
      </c>
      <c r="F472" s="1" t="s">
        <v>40</v>
      </c>
      <c r="G472" s="3">
        <v>41579</v>
      </c>
      <c r="H472" s="3">
        <v>1</v>
      </c>
      <c r="I472" s="1" t="s">
        <v>41</v>
      </c>
      <c r="J472" s="1">
        <v>1</v>
      </c>
      <c r="L472" s="1" t="s">
        <v>1575</v>
      </c>
      <c r="M472" s="1" t="s">
        <v>482</v>
      </c>
      <c r="O472" s="1">
        <v>610.14</v>
      </c>
      <c r="Q472" s="1" t="s">
        <v>46</v>
      </c>
      <c r="R472" s="1" t="s">
        <v>47</v>
      </c>
      <c r="S472" s="1" t="s">
        <v>47</v>
      </c>
      <c r="T472" s="1" t="s">
        <v>48</v>
      </c>
      <c r="U472" s="1" t="s">
        <v>47</v>
      </c>
      <c r="V472" s="1" t="s">
        <v>47</v>
      </c>
      <c r="W472" s="1" t="s">
        <v>47</v>
      </c>
      <c r="Z472" s="1">
        <v>0</v>
      </c>
      <c r="AB472" s="1" t="s">
        <v>47</v>
      </c>
      <c r="AD472" s="1">
        <v>543495</v>
      </c>
      <c r="AF472" s="1" t="s">
        <v>47</v>
      </c>
      <c r="AG472" s="1" t="s">
        <v>47</v>
      </c>
      <c r="AH472" s="1" t="s">
        <v>49</v>
      </c>
      <c r="AI472" s="1" t="s">
        <v>47</v>
      </c>
      <c r="AK472" s="1" t="s">
        <v>48</v>
      </c>
      <c r="AL472" s="1" t="s">
        <v>1576</v>
      </c>
    </row>
    <row r="473" spans="1:38">
      <c r="A473" s="1">
        <v>5137814</v>
      </c>
      <c r="B473" s="1" t="s">
        <v>1577</v>
      </c>
      <c r="C473" s="1" t="str">
        <f>"9780273771975"</f>
        <v>9780273771975</v>
      </c>
      <c r="D473" s="1" t="str">
        <f>"9780273772903"</f>
        <v>9780273772903</v>
      </c>
      <c r="E473" s="1" t="s">
        <v>52</v>
      </c>
      <c r="F473" s="1" t="s">
        <v>40</v>
      </c>
      <c r="G473" s="3">
        <v>41030</v>
      </c>
      <c r="H473" s="3">
        <v>1</v>
      </c>
      <c r="I473" s="1" t="s">
        <v>41</v>
      </c>
      <c r="J473" s="1">
        <v>1</v>
      </c>
      <c r="L473" s="1" t="s">
        <v>1578</v>
      </c>
      <c r="M473" s="1" t="s">
        <v>1579</v>
      </c>
      <c r="N473" s="1" t="s">
        <v>1580</v>
      </c>
      <c r="O473" s="1">
        <v>5.54</v>
      </c>
      <c r="P473" s="1" t="s">
        <v>1581</v>
      </c>
      <c r="Q473" s="1" t="s">
        <v>46</v>
      </c>
      <c r="R473" s="1" t="s">
        <v>47</v>
      </c>
      <c r="S473" s="1" t="s">
        <v>47</v>
      </c>
      <c r="T473" s="1" t="s">
        <v>48</v>
      </c>
      <c r="U473" s="1" t="s">
        <v>47</v>
      </c>
      <c r="V473" s="1" t="s">
        <v>47</v>
      </c>
      <c r="W473" s="1" t="s">
        <v>47</v>
      </c>
      <c r="Z473" s="1">
        <v>0</v>
      </c>
      <c r="AB473" s="1" t="s">
        <v>47</v>
      </c>
      <c r="AD473" s="1">
        <v>459589</v>
      </c>
      <c r="AF473" s="1" t="s">
        <v>47</v>
      </c>
      <c r="AG473" s="1" t="s">
        <v>47</v>
      </c>
      <c r="AH473" s="1" t="s">
        <v>49</v>
      </c>
      <c r="AI473" s="1" t="s">
        <v>47</v>
      </c>
      <c r="AK473" s="1" t="s">
        <v>48</v>
      </c>
      <c r="AL473" s="1" t="s">
        <v>1582</v>
      </c>
    </row>
    <row r="474" spans="1:38">
      <c r="A474" s="1">
        <v>5137818</v>
      </c>
      <c r="B474" s="1" t="s">
        <v>1583</v>
      </c>
      <c r="C474" s="1" t="str">
        <f>"9781447904472"</f>
        <v>9781447904472</v>
      </c>
      <c r="D474" s="1" t="str">
        <f>"9781447904489"</f>
        <v>9781447904489</v>
      </c>
      <c r="E474" s="1" t="s">
        <v>52</v>
      </c>
      <c r="F474" s="1" t="s">
        <v>40</v>
      </c>
      <c r="G474" s="3">
        <v>41431</v>
      </c>
      <c r="H474" s="3">
        <v>1</v>
      </c>
      <c r="I474" s="1" t="s">
        <v>41</v>
      </c>
      <c r="J474" s="1">
        <v>2</v>
      </c>
      <c r="L474" s="1" t="s">
        <v>1584</v>
      </c>
      <c r="M474" s="1" t="s">
        <v>162</v>
      </c>
      <c r="N474" s="1" t="s">
        <v>1585</v>
      </c>
      <c r="O474" s="1">
        <v>346.07</v>
      </c>
      <c r="P474" s="1" t="s">
        <v>1586</v>
      </c>
      <c r="Q474" s="1" t="s">
        <v>46</v>
      </c>
      <c r="R474" s="1" t="s">
        <v>47</v>
      </c>
      <c r="S474" s="1" t="s">
        <v>47</v>
      </c>
      <c r="T474" s="1" t="s">
        <v>48</v>
      </c>
      <c r="U474" s="1" t="s">
        <v>47</v>
      </c>
      <c r="V474" s="1" t="s">
        <v>47</v>
      </c>
      <c r="W474" s="1" t="s">
        <v>47</v>
      </c>
      <c r="Z474" s="1">
        <v>0</v>
      </c>
      <c r="AB474" s="1" t="s">
        <v>47</v>
      </c>
      <c r="AD474" s="1">
        <v>497454</v>
      </c>
      <c r="AF474" s="1" t="s">
        <v>47</v>
      </c>
      <c r="AG474" s="1" t="s">
        <v>47</v>
      </c>
      <c r="AH474" s="1" t="s">
        <v>49</v>
      </c>
      <c r="AI474" s="1" t="s">
        <v>47</v>
      </c>
      <c r="AK474" s="1" t="s">
        <v>48</v>
      </c>
      <c r="AL474" s="1" t="s">
        <v>1587</v>
      </c>
    </row>
    <row r="475" spans="1:38">
      <c r="A475" s="1">
        <v>5137822</v>
      </c>
      <c r="B475" s="1" t="s">
        <v>1588</v>
      </c>
      <c r="C475" s="1" t="str">
        <f>"9781292042251"</f>
        <v>9781292042251</v>
      </c>
      <c r="D475" s="1" t="str">
        <f>"9781292053080"</f>
        <v>9781292053080</v>
      </c>
      <c r="E475" s="1" t="s">
        <v>52</v>
      </c>
      <c r="F475" s="1" t="s">
        <v>40</v>
      </c>
      <c r="G475" s="3">
        <v>41579</v>
      </c>
      <c r="H475" s="3">
        <v>1</v>
      </c>
      <c r="I475" s="1" t="s">
        <v>41</v>
      </c>
      <c r="J475" s="1">
        <v>3</v>
      </c>
      <c r="L475" s="1" t="s">
        <v>553</v>
      </c>
      <c r="M475" s="1" t="s">
        <v>556</v>
      </c>
      <c r="O475" s="1">
        <v>5.0999999999999996</v>
      </c>
      <c r="Q475" s="1" t="s">
        <v>46</v>
      </c>
      <c r="R475" s="1" t="s">
        <v>47</v>
      </c>
      <c r="S475" s="1" t="s">
        <v>47</v>
      </c>
      <c r="T475" s="1" t="s">
        <v>48</v>
      </c>
      <c r="U475" s="1" t="s">
        <v>47</v>
      </c>
      <c r="V475" s="1" t="s">
        <v>47</v>
      </c>
      <c r="W475" s="1" t="s">
        <v>47</v>
      </c>
      <c r="Z475" s="1">
        <v>0</v>
      </c>
      <c r="AB475" s="1" t="s">
        <v>47</v>
      </c>
      <c r="AD475" s="1">
        <v>543597</v>
      </c>
      <c r="AF475" s="1" t="s">
        <v>47</v>
      </c>
      <c r="AG475" s="1" t="s">
        <v>47</v>
      </c>
      <c r="AH475" s="1" t="s">
        <v>49</v>
      </c>
      <c r="AI475" s="1" t="s">
        <v>47</v>
      </c>
      <c r="AK475" s="1" t="s">
        <v>48</v>
      </c>
      <c r="AL475" s="1" t="s">
        <v>1589</v>
      </c>
    </row>
    <row r="476" spans="1:38">
      <c r="A476" s="1">
        <v>5137830</v>
      </c>
      <c r="B476" s="1" t="s">
        <v>1590</v>
      </c>
      <c r="C476" s="1" t="str">
        <f>"9781292041681"</f>
        <v>9781292041681</v>
      </c>
      <c r="D476" s="1" t="str">
        <f>"9781292053103"</f>
        <v>9781292053103</v>
      </c>
      <c r="E476" s="1" t="s">
        <v>52</v>
      </c>
      <c r="F476" s="1" t="s">
        <v>40</v>
      </c>
      <c r="G476" s="3">
        <v>41579</v>
      </c>
      <c r="H476" s="3">
        <v>1</v>
      </c>
      <c r="I476" s="1" t="s">
        <v>41</v>
      </c>
      <c r="J476" s="1">
        <v>6</v>
      </c>
      <c r="L476" s="1" t="s">
        <v>1591</v>
      </c>
      <c r="M476" s="1" t="s">
        <v>54</v>
      </c>
      <c r="O476" s="1">
        <v>370.72</v>
      </c>
      <c r="Q476" s="1" t="s">
        <v>46</v>
      </c>
      <c r="R476" s="1" t="s">
        <v>47</v>
      </c>
      <c r="S476" s="1" t="s">
        <v>47</v>
      </c>
      <c r="T476" s="1" t="s">
        <v>48</v>
      </c>
      <c r="U476" s="1" t="s">
        <v>47</v>
      </c>
      <c r="V476" s="1" t="s">
        <v>47</v>
      </c>
      <c r="W476" s="1" t="s">
        <v>47</v>
      </c>
      <c r="Z476" s="1">
        <v>0</v>
      </c>
      <c r="AB476" s="1" t="s">
        <v>47</v>
      </c>
      <c r="AD476" s="1">
        <v>543519</v>
      </c>
      <c r="AF476" s="1" t="s">
        <v>47</v>
      </c>
      <c r="AG476" s="1" t="s">
        <v>47</v>
      </c>
      <c r="AH476" s="1" t="s">
        <v>49</v>
      </c>
      <c r="AI476" s="1" t="s">
        <v>47</v>
      </c>
      <c r="AK476" s="1" t="s">
        <v>48</v>
      </c>
      <c r="AL476" s="1" t="s">
        <v>1592</v>
      </c>
    </row>
    <row r="477" spans="1:38">
      <c r="A477" s="1">
        <v>5137832</v>
      </c>
      <c r="B477" s="1" t="s">
        <v>1593</v>
      </c>
      <c r="C477" s="1" t="str">
        <f>"9781292042893"</f>
        <v>9781292042893</v>
      </c>
      <c r="D477" s="1" t="str">
        <f>"9781292053110"</f>
        <v>9781292053110</v>
      </c>
      <c r="E477" s="1" t="s">
        <v>52</v>
      </c>
      <c r="F477" s="1" t="s">
        <v>40</v>
      </c>
      <c r="G477" s="3">
        <v>41579</v>
      </c>
      <c r="H477" s="3">
        <v>1</v>
      </c>
      <c r="I477" s="1" t="s">
        <v>41</v>
      </c>
      <c r="J477" s="1">
        <v>1</v>
      </c>
      <c r="L477" s="1" t="s">
        <v>1594</v>
      </c>
      <c r="M477" s="1" t="s">
        <v>59</v>
      </c>
      <c r="O477" s="1">
        <v>658.23</v>
      </c>
      <c r="Q477" s="1" t="s">
        <v>46</v>
      </c>
      <c r="R477" s="1" t="s">
        <v>47</v>
      </c>
      <c r="S477" s="1" t="s">
        <v>47</v>
      </c>
      <c r="T477" s="1" t="s">
        <v>48</v>
      </c>
      <c r="U477" s="1" t="s">
        <v>47</v>
      </c>
      <c r="V477" s="1" t="s">
        <v>47</v>
      </c>
      <c r="W477" s="1" t="s">
        <v>47</v>
      </c>
      <c r="Z477" s="1">
        <v>0</v>
      </c>
      <c r="AB477" s="1" t="s">
        <v>47</v>
      </c>
      <c r="AD477" s="1">
        <v>543407</v>
      </c>
      <c r="AF477" s="1" t="s">
        <v>47</v>
      </c>
      <c r="AG477" s="1" t="s">
        <v>47</v>
      </c>
      <c r="AH477" s="1" t="s">
        <v>49</v>
      </c>
      <c r="AI477" s="1" t="s">
        <v>47</v>
      </c>
      <c r="AK477" s="1" t="s">
        <v>48</v>
      </c>
      <c r="AL477" s="1" t="s">
        <v>1595</v>
      </c>
    </row>
    <row r="478" spans="1:38">
      <c r="A478" s="1">
        <v>5137833</v>
      </c>
      <c r="B478" s="1" t="s">
        <v>1596</v>
      </c>
      <c r="C478" s="1" t="str">
        <f>"9781292024479"</f>
        <v>9781292024479</v>
      </c>
      <c r="D478" s="1" t="str">
        <f>"9781292037301"</f>
        <v>9781292037301</v>
      </c>
      <c r="E478" s="1" t="s">
        <v>52</v>
      </c>
      <c r="F478" s="1" t="s">
        <v>40</v>
      </c>
      <c r="G478" s="3">
        <v>41472</v>
      </c>
      <c r="H478" s="3">
        <v>1</v>
      </c>
      <c r="I478" s="1" t="s">
        <v>41</v>
      </c>
      <c r="J478" s="1">
        <v>2</v>
      </c>
      <c r="L478" s="1" t="s">
        <v>1597</v>
      </c>
      <c r="M478" s="1" t="s">
        <v>556</v>
      </c>
      <c r="O478" s="1">
        <v>5.74</v>
      </c>
      <c r="Q478" s="1" t="s">
        <v>46</v>
      </c>
      <c r="R478" s="1" t="s">
        <v>47</v>
      </c>
      <c r="S478" s="1" t="s">
        <v>47</v>
      </c>
      <c r="T478" s="1" t="s">
        <v>48</v>
      </c>
      <c r="U478" s="1" t="s">
        <v>47</v>
      </c>
      <c r="V478" s="1" t="s">
        <v>47</v>
      </c>
      <c r="W478" s="1" t="s">
        <v>47</v>
      </c>
      <c r="Z478" s="1">
        <v>0</v>
      </c>
      <c r="AB478" s="1" t="s">
        <v>47</v>
      </c>
      <c r="AD478" s="1">
        <v>527138</v>
      </c>
      <c r="AF478" s="1" t="s">
        <v>47</v>
      </c>
      <c r="AG478" s="1" t="s">
        <v>47</v>
      </c>
      <c r="AH478" s="1" t="s">
        <v>49</v>
      </c>
      <c r="AI478" s="1" t="s">
        <v>47</v>
      </c>
      <c r="AK478" s="1" t="s">
        <v>48</v>
      </c>
      <c r="AL478" s="1" t="s">
        <v>1598</v>
      </c>
    </row>
    <row r="479" spans="1:38">
      <c r="A479" s="1">
        <v>5137834</v>
      </c>
      <c r="B479" s="1" t="s">
        <v>1599</v>
      </c>
      <c r="C479" s="1" t="str">
        <f>"9781292040127"</f>
        <v>9781292040127</v>
      </c>
      <c r="D479" s="1" t="str">
        <f>"9781292053127"</f>
        <v>9781292053127</v>
      </c>
      <c r="E479" s="1" t="s">
        <v>52</v>
      </c>
      <c r="F479" s="1" t="s">
        <v>40</v>
      </c>
      <c r="G479" s="3">
        <v>41579</v>
      </c>
      <c r="H479" s="3">
        <v>1</v>
      </c>
      <c r="I479" s="1" t="s">
        <v>41</v>
      </c>
      <c r="J479" s="1">
        <v>5</v>
      </c>
      <c r="L479" s="1" t="s">
        <v>1600</v>
      </c>
      <c r="M479" s="1" t="s">
        <v>100</v>
      </c>
      <c r="O479" s="1">
        <v>155.82</v>
      </c>
      <c r="Q479" s="1" t="s">
        <v>46</v>
      </c>
      <c r="R479" s="1" t="s">
        <v>47</v>
      </c>
      <c r="S479" s="1" t="s">
        <v>47</v>
      </c>
      <c r="T479" s="1" t="s">
        <v>48</v>
      </c>
      <c r="U479" s="1" t="s">
        <v>47</v>
      </c>
      <c r="V479" s="1" t="s">
        <v>47</v>
      </c>
      <c r="W479" s="1" t="s">
        <v>47</v>
      </c>
      <c r="Z479" s="1">
        <v>0</v>
      </c>
      <c r="AB479" s="1" t="s">
        <v>47</v>
      </c>
      <c r="AD479" s="1">
        <v>543418</v>
      </c>
      <c r="AF479" s="1" t="s">
        <v>47</v>
      </c>
      <c r="AG479" s="1" t="s">
        <v>47</v>
      </c>
      <c r="AH479" s="1" t="s">
        <v>49</v>
      </c>
      <c r="AI479" s="1" t="s">
        <v>47</v>
      </c>
      <c r="AK479" s="1" t="s">
        <v>48</v>
      </c>
      <c r="AL479" s="1" t="s">
        <v>1601</v>
      </c>
    </row>
    <row r="480" spans="1:38">
      <c r="A480" s="1">
        <v>5137835</v>
      </c>
      <c r="B480" s="1" t="s">
        <v>1602</v>
      </c>
      <c r="C480" s="1" t="str">
        <f>"9780273776109"</f>
        <v>9780273776109</v>
      </c>
      <c r="D480" s="1" t="str">
        <f>"9780273776123"</f>
        <v>9780273776123</v>
      </c>
      <c r="E480" s="1" t="s">
        <v>52</v>
      </c>
      <c r="F480" s="1" t="s">
        <v>40</v>
      </c>
      <c r="G480" s="3">
        <v>41487</v>
      </c>
      <c r="H480" s="3">
        <v>1</v>
      </c>
      <c r="I480" s="1" t="s">
        <v>41</v>
      </c>
      <c r="J480" s="1">
        <v>1</v>
      </c>
      <c r="L480" s="1" t="s">
        <v>1603</v>
      </c>
      <c r="M480" s="1" t="s">
        <v>950</v>
      </c>
      <c r="N480" s="1" t="s">
        <v>1604</v>
      </c>
      <c r="O480" s="1">
        <v>339</v>
      </c>
      <c r="P480" s="1" t="s">
        <v>1605</v>
      </c>
      <c r="Q480" s="1" t="s">
        <v>46</v>
      </c>
      <c r="R480" s="1" t="s">
        <v>47</v>
      </c>
      <c r="S480" s="1" t="s">
        <v>47</v>
      </c>
      <c r="T480" s="1" t="s">
        <v>48</v>
      </c>
      <c r="U480" s="1" t="s">
        <v>47</v>
      </c>
      <c r="V480" s="1" t="s">
        <v>47</v>
      </c>
      <c r="W480" s="1" t="s">
        <v>47</v>
      </c>
      <c r="Z480" s="1">
        <v>0</v>
      </c>
      <c r="AB480" s="1" t="s">
        <v>47</v>
      </c>
      <c r="AD480" s="1">
        <v>502462</v>
      </c>
      <c r="AF480" s="1" t="s">
        <v>47</v>
      </c>
      <c r="AG480" s="1" t="s">
        <v>47</v>
      </c>
      <c r="AH480" s="1" t="s">
        <v>49</v>
      </c>
      <c r="AI480" s="1" t="s">
        <v>47</v>
      </c>
      <c r="AK480" s="1" t="s">
        <v>48</v>
      </c>
      <c r="AL480" s="1" t="s">
        <v>1606</v>
      </c>
    </row>
    <row r="481" spans="1:38">
      <c r="A481" s="1">
        <v>5137838</v>
      </c>
      <c r="B481" s="1" t="s">
        <v>1607</v>
      </c>
      <c r="C481" s="1" t="str">
        <f>"9781292026947"</f>
        <v>9781292026947</v>
      </c>
      <c r="D481" s="1" t="str">
        <f>"9781292053134"</f>
        <v>9781292053134</v>
      </c>
      <c r="E481" s="1" t="s">
        <v>52</v>
      </c>
      <c r="F481" s="1" t="s">
        <v>40</v>
      </c>
      <c r="G481" s="3">
        <v>41579</v>
      </c>
      <c r="H481" s="3">
        <v>1</v>
      </c>
      <c r="I481" s="1" t="s">
        <v>41</v>
      </c>
      <c r="J481" s="1">
        <v>1</v>
      </c>
      <c r="L481" s="1" t="s">
        <v>1608</v>
      </c>
      <c r="M481" s="1" t="s">
        <v>556</v>
      </c>
      <c r="O481" s="1">
        <v>5.7565</v>
      </c>
      <c r="Q481" s="1" t="s">
        <v>46</v>
      </c>
      <c r="R481" s="1" t="s">
        <v>47</v>
      </c>
      <c r="S481" s="1" t="s">
        <v>47</v>
      </c>
      <c r="T481" s="1" t="s">
        <v>48</v>
      </c>
      <c r="U481" s="1" t="s">
        <v>47</v>
      </c>
      <c r="V481" s="1" t="s">
        <v>47</v>
      </c>
      <c r="W481" s="1" t="s">
        <v>47</v>
      </c>
      <c r="Z481" s="1">
        <v>0</v>
      </c>
      <c r="AB481" s="1" t="s">
        <v>47</v>
      </c>
      <c r="AD481" s="1">
        <v>543615</v>
      </c>
      <c r="AF481" s="1" t="s">
        <v>47</v>
      </c>
      <c r="AG481" s="1" t="s">
        <v>47</v>
      </c>
      <c r="AH481" s="1" t="s">
        <v>49</v>
      </c>
      <c r="AI481" s="1" t="s">
        <v>47</v>
      </c>
      <c r="AK481" s="1" t="s">
        <v>48</v>
      </c>
      <c r="AL481" s="1" t="s">
        <v>1609</v>
      </c>
    </row>
    <row r="482" spans="1:38">
      <c r="A482" s="1">
        <v>5137840</v>
      </c>
      <c r="B482" s="1" t="s">
        <v>1610</v>
      </c>
      <c r="C482" s="1" t="str">
        <f>"9780273744054"</f>
        <v>9780273744054</v>
      </c>
      <c r="D482" s="1" t="str">
        <f>"9780273744078"</f>
        <v>9780273744078</v>
      </c>
      <c r="E482" s="1" t="s">
        <v>52</v>
      </c>
      <c r="F482" s="1" t="s">
        <v>67</v>
      </c>
      <c r="G482" s="3">
        <v>40480</v>
      </c>
      <c r="H482" s="3">
        <v>1</v>
      </c>
      <c r="I482" s="1" t="s">
        <v>41</v>
      </c>
      <c r="J482" s="1">
        <v>1</v>
      </c>
      <c r="K482" s="1" t="s">
        <v>1611</v>
      </c>
      <c r="L482" s="1" t="s">
        <v>1612</v>
      </c>
      <c r="M482" s="1" t="s">
        <v>59</v>
      </c>
      <c r="N482" s="1" t="s">
        <v>95</v>
      </c>
      <c r="O482" s="1">
        <v>658.11</v>
      </c>
      <c r="P482" s="1" t="s">
        <v>1613</v>
      </c>
      <c r="Q482" s="1" t="s">
        <v>46</v>
      </c>
      <c r="R482" s="1" t="s">
        <v>47</v>
      </c>
      <c r="S482" s="1" t="s">
        <v>47</v>
      </c>
      <c r="T482" s="1" t="s">
        <v>48</v>
      </c>
      <c r="U482" s="1" t="s">
        <v>47</v>
      </c>
      <c r="V482" s="1" t="s">
        <v>47</v>
      </c>
      <c r="W482" s="1" t="s">
        <v>47</v>
      </c>
      <c r="Z482" s="1">
        <v>0</v>
      </c>
      <c r="AB482" s="1" t="s">
        <v>47</v>
      </c>
      <c r="AD482" s="1">
        <v>383150</v>
      </c>
      <c r="AF482" s="1" t="s">
        <v>47</v>
      </c>
      <c r="AG482" s="1" t="s">
        <v>47</v>
      </c>
      <c r="AH482" s="1" t="s">
        <v>49</v>
      </c>
      <c r="AI482" s="1" t="s">
        <v>47</v>
      </c>
      <c r="AK482" s="1" t="s">
        <v>48</v>
      </c>
      <c r="AL482" s="1" t="s">
        <v>1614</v>
      </c>
    </row>
    <row r="483" spans="1:38">
      <c r="A483" s="1">
        <v>5137844</v>
      </c>
      <c r="B483" s="1" t="s">
        <v>1615</v>
      </c>
      <c r="C483" s="1" t="str">
        <f>"9781292023380"</f>
        <v>9781292023380</v>
      </c>
      <c r="D483" s="1" t="str">
        <f>"9781292036557"</f>
        <v>9781292036557</v>
      </c>
      <c r="E483" s="1" t="s">
        <v>52</v>
      </c>
      <c r="F483" s="1" t="s">
        <v>40</v>
      </c>
      <c r="G483" s="3">
        <v>41478</v>
      </c>
      <c r="H483" s="3">
        <v>1</v>
      </c>
      <c r="I483" s="1" t="s">
        <v>41</v>
      </c>
      <c r="J483" s="1">
        <v>6</v>
      </c>
      <c r="L483" s="1" t="s">
        <v>1616</v>
      </c>
      <c r="M483" s="1" t="s">
        <v>256</v>
      </c>
      <c r="O483" s="1">
        <v>337</v>
      </c>
      <c r="Q483" s="1" t="s">
        <v>46</v>
      </c>
      <c r="R483" s="1" t="s">
        <v>47</v>
      </c>
      <c r="S483" s="1" t="s">
        <v>47</v>
      </c>
      <c r="T483" s="1" t="s">
        <v>48</v>
      </c>
      <c r="U483" s="1" t="s">
        <v>47</v>
      </c>
      <c r="V483" s="1" t="s">
        <v>47</v>
      </c>
      <c r="W483" s="1" t="s">
        <v>47</v>
      </c>
      <c r="Z483" s="1">
        <v>0</v>
      </c>
      <c r="AB483" s="1" t="s">
        <v>47</v>
      </c>
      <c r="AD483" s="1">
        <v>527399</v>
      </c>
      <c r="AF483" s="1" t="s">
        <v>47</v>
      </c>
      <c r="AG483" s="1" t="s">
        <v>47</v>
      </c>
      <c r="AH483" s="1" t="s">
        <v>49</v>
      </c>
      <c r="AI483" s="1" t="s">
        <v>47</v>
      </c>
      <c r="AK483" s="1" t="s">
        <v>48</v>
      </c>
      <c r="AL483" s="1" t="s">
        <v>1617</v>
      </c>
    </row>
    <row r="484" spans="1:38">
      <c r="A484" s="1">
        <v>5137846</v>
      </c>
      <c r="B484" s="1" t="s">
        <v>1618</v>
      </c>
      <c r="C484" s="1" t="str">
        <f>"9780273720027"</f>
        <v>9780273720027</v>
      </c>
      <c r="D484" s="1" t="str">
        <f>"9780273720096"</f>
        <v>9780273720096</v>
      </c>
      <c r="E484" s="1" t="s">
        <v>52</v>
      </c>
      <c r="F484" s="1" t="s">
        <v>40</v>
      </c>
      <c r="G484" s="3">
        <v>41061</v>
      </c>
      <c r="H484" s="3">
        <v>1</v>
      </c>
      <c r="I484" s="1" t="s">
        <v>41</v>
      </c>
      <c r="J484" s="1">
        <v>1</v>
      </c>
      <c r="L484" s="1" t="s">
        <v>1619</v>
      </c>
      <c r="M484" s="1" t="s">
        <v>100</v>
      </c>
      <c r="N484" s="1" t="s">
        <v>1620</v>
      </c>
      <c r="O484" s="1">
        <v>150</v>
      </c>
      <c r="Q484" s="1" t="s">
        <v>46</v>
      </c>
      <c r="R484" s="1" t="s">
        <v>47</v>
      </c>
      <c r="S484" s="1" t="s">
        <v>47</v>
      </c>
      <c r="T484" s="1" t="s">
        <v>48</v>
      </c>
      <c r="U484" s="1" t="s">
        <v>47</v>
      </c>
      <c r="V484" s="1" t="s">
        <v>47</v>
      </c>
      <c r="W484" s="1" t="s">
        <v>47</v>
      </c>
      <c r="Z484" s="1">
        <v>0</v>
      </c>
      <c r="AB484" s="1" t="s">
        <v>47</v>
      </c>
      <c r="AD484" s="1">
        <v>462996</v>
      </c>
      <c r="AF484" s="1" t="s">
        <v>47</v>
      </c>
      <c r="AG484" s="1" t="s">
        <v>47</v>
      </c>
      <c r="AH484" s="1" t="s">
        <v>49</v>
      </c>
      <c r="AI484" s="1" t="s">
        <v>47</v>
      </c>
      <c r="AK484" s="1" t="s">
        <v>48</v>
      </c>
      <c r="AL484" s="1" t="s">
        <v>1621</v>
      </c>
    </row>
    <row r="485" spans="1:38">
      <c r="A485" s="1">
        <v>5137847</v>
      </c>
      <c r="B485" s="1" t="s">
        <v>1622</v>
      </c>
      <c r="C485" s="1" t="str">
        <f>"9781292024653"</f>
        <v>9781292024653</v>
      </c>
      <c r="D485" s="1" t="str">
        <f>"9781292037349"</f>
        <v>9781292037349</v>
      </c>
      <c r="E485" s="1" t="s">
        <v>52</v>
      </c>
      <c r="F485" s="1" t="s">
        <v>40</v>
      </c>
      <c r="G485" s="3">
        <v>41484</v>
      </c>
      <c r="H485" s="3">
        <v>1</v>
      </c>
      <c r="I485" s="1" t="s">
        <v>41</v>
      </c>
      <c r="J485" s="1">
        <v>8</v>
      </c>
      <c r="L485" s="1" t="s">
        <v>1623</v>
      </c>
      <c r="M485" s="1" t="s">
        <v>1107</v>
      </c>
      <c r="O485" s="1">
        <v>808.06600000000003</v>
      </c>
      <c r="Q485" s="1" t="s">
        <v>46</v>
      </c>
      <c r="R485" s="1" t="s">
        <v>47</v>
      </c>
      <c r="S485" s="1" t="s">
        <v>47</v>
      </c>
      <c r="T485" s="1" t="s">
        <v>48</v>
      </c>
      <c r="U485" s="1" t="s">
        <v>47</v>
      </c>
      <c r="V485" s="1" t="s">
        <v>47</v>
      </c>
      <c r="W485" s="1" t="s">
        <v>47</v>
      </c>
      <c r="Z485" s="1">
        <v>0</v>
      </c>
      <c r="AB485" s="1" t="s">
        <v>47</v>
      </c>
      <c r="AD485" s="1">
        <v>527197</v>
      </c>
      <c r="AF485" s="1" t="s">
        <v>47</v>
      </c>
      <c r="AG485" s="1" t="s">
        <v>47</v>
      </c>
      <c r="AH485" s="1" t="s">
        <v>49</v>
      </c>
      <c r="AI485" s="1" t="s">
        <v>47</v>
      </c>
      <c r="AK485" s="1" t="s">
        <v>48</v>
      </c>
      <c r="AL485" s="1" t="s">
        <v>1624</v>
      </c>
    </row>
    <row r="486" spans="1:38">
      <c r="A486" s="1">
        <v>5137849</v>
      </c>
      <c r="B486" s="1" t="s">
        <v>1625</v>
      </c>
      <c r="C486" s="1" t="str">
        <f>"9781292039121"</f>
        <v>9781292039121</v>
      </c>
      <c r="D486" s="1" t="str">
        <f>"9781292053189"</f>
        <v>9781292053189</v>
      </c>
      <c r="E486" s="1" t="s">
        <v>52</v>
      </c>
      <c r="F486" s="1" t="s">
        <v>40</v>
      </c>
      <c r="G486" s="3">
        <v>41550</v>
      </c>
      <c r="H486" s="3">
        <v>1</v>
      </c>
      <c r="I486" s="1" t="s">
        <v>41</v>
      </c>
      <c r="J486" s="1">
        <v>3</v>
      </c>
      <c r="L486" s="1" t="s">
        <v>1626</v>
      </c>
      <c r="Q486" s="1" t="s">
        <v>46</v>
      </c>
      <c r="R486" s="1" t="s">
        <v>47</v>
      </c>
      <c r="S486" s="1" t="s">
        <v>47</v>
      </c>
      <c r="T486" s="1" t="s">
        <v>48</v>
      </c>
      <c r="U486" s="1" t="s">
        <v>47</v>
      </c>
      <c r="V486" s="1" t="s">
        <v>47</v>
      </c>
      <c r="W486" s="1" t="s">
        <v>47</v>
      </c>
      <c r="Z486" s="1">
        <v>0</v>
      </c>
      <c r="AB486" s="1" t="s">
        <v>47</v>
      </c>
      <c r="AD486" s="1">
        <v>543478</v>
      </c>
      <c r="AF486" s="1" t="s">
        <v>47</v>
      </c>
      <c r="AG486" s="1" t="s">
        <v>47</v>
      </c>
      <c r="AH486" s="1" t="s">
        <v>49</v>
      </c>
      <c r="AI486" s="1" t="s">
        <v>47</v>
      </c>
      <c r="AK486" s="1" t="s">
        <v>48</v>
      </c>
      <c r="AL486" s="1" t="s">
        <v>1627</v>
      </c>
    </row>
    <row r="487" spans="1:38">
      <c r="A487" s="1">
        <v>5137851</v>
      </c>
      <c r="B487" s="1" t="s">
        <v>1628</v>
      </c>
      <c r="C487" s="1" t="str">
        <f>""</f>
        <v/>
      </c>
      <c r="D487" s="1" t="str">
        <f>"9781447930457"</f>
        <v>9781447930457</v>
      </c>
      <c r="E487" s="1" t="s">
        <v>52</v>
      </c>
      <c r="F487" s="1" t="s">
        <v>365</v>
      </c>
      <c r="G487" s="3">
        <v>41339</v>
      </c>
      <c r="H487" s="3">
        <v>1</v>
      </c>
      <c r="I487" s="1" t="s">
        <v>41</v>
      </c>
      <c r="J487" s="1">
        <v>13</v>
      </c>
      <c r="L487" s="1" t="s">
        <v>1629</v>
      </c>
      <c r="Q487" s="1" t="s">
        <v>46</v>
      </c>
      <c r="R487" s="1" t="s">
        <v>47</v>
      </c>
      <c r="S487" s="1" t="s">
        <v>47</v>
      </c>
      <c r="T487" s="1" t="s">
        <v>48</v>
      </c>
      <c r="U487" s="1" t="s">
        <v>47</v>
      </c>
      <c r="V487" s="1" t="s">
        <v>47</v>
      </c>
      <c r="W487" s="1" t="s">
        <v>47</v>
      </c>
      <c r="Z487" s="1">
        <v>0</v>
      </c>
      <c r="AB487" s="1" t="s">
        <v>47</v>
      </c>
      <c r="AD487" s="1">
        <v>463080</v>
      </c>
      <c r="AF487" s="1" t="s">
        <v>47</v>
      </c>
      <c r="AG487" s="1" t="s">
        <v>47</v>
      </c>
      <c r="AH487" s="1" t="s">
        <v>49</v>
      </c>
      <c r="AI487" s="1" t="s">
        <v>47</v>
      </c>
      <c r="AK487" s="1" t="s">
        <v>48</v>
      </c>
      <c r="AL487" s="1" t="s">
        <v>1630</v>
      </c>
    </row>
    <row r="488" spans="1:38">
      <c r="A488" s="1">
        <v>5137852</v>
      </c>
      <c r="B488" s="1" t="s">
        <v>1631</v>
      </c>
      <c r="C488" s="1" t="str">
        <f>"9781292020761"</f>
        <v>9781292020761</v>
      </c>
      <c r="D488" s="1" t="str">
        <f>"9781292034010"</f>
        <v>9781292034010</v>
      </c>
      <c r="E488" s="1" t="s">
        <v>52</v>
      </c>
      <c r="F488" s="1" t="s">
        <v>40</v>
      </c>
      <c r="G488" s="3">
        <v>41484</v>
      </c>
      <c r="H488" s="3">
        <v>1</v>
      </c>
      <c r="I488" s="1" t="s">
        <v>41</v>
      </c>
      <c r="J488" s="1">
        <v>4</v>
      </c>
      <c r="L488" s="1" t="s">
        <v>1632</v>
      </c>
      <c r="M488" s="1" t="s">
        <v>1633</v>
      </c>
      <c r="O488" s="1">
        <v>530</v>
      </c>
      <c r="Q488" s="1" t="s">
        <v>46</v>
      </c>
      <c r="R488" s="1" t="s">
        <v>47</v>
      </c>
      <c r="S488" s="1" t="s">
        <v>47</v>
      </c>
      <c r="T488" s="1" t="s">
        <v>48</v>
      </c>
      <c r="U488" s="1" t="s">
        <v>47</v>
      </c>
      <c r="V488" s="1" t="s">
        <v>47</v>
      </c>
      <c r="W488" s="1" t="s">
        <v>47</v>
      </c>
      <c r="Z488" s="1">
        <v>0</v>
      </c>
      <c r="AB488" s="1" t="s">
        <v>47</v>
      </c>
      <c r="AD488" s="1">
        <v>526945</v>
      </c>
      <c r="AF488" s="1" t="s">
        <v>47</v>
      </c>
      <c r="AG488" s="1" t="s">
        <v>47</v>
      </c>
      <c r="AH488" s="1" t="s">
        <v>49</v>
      </c>
      <c r="AI488" s="1" t="s">
        <v>47</v>
      </c>
      <c r="AK488" s="1" t="s">
        <v>48</v>
      </c>
      <c r="AL488" s="1" t="s">
        <v>1634</v>
      </c>
    </row>
    <row r="489" spans="1:38">
      <c r="A489" s="1">
        <v>5137853</v>
      </c>
      <c r="B489" s="1" t="s">
        <v>1635</v>
      </c>
      <c r="C489" s="1" t="str">
        <f>"9781292021768"</f>
        <v>9781292021768</v>
      </c>
      <c r="D489" s="1" t="str">
        <f>"9781292034980"</f>
        <v>9781292034980</v>
      </c>
      <c r="E489" s="1" t="s">
        <v>52</v>
      </c>
      <c r="F489" s="1" t="s">
        <v>40</v>
      </c>
      <c r="G489" s="3">
        <v>41513</v>
      </c>
      <c r="H489" s="3">
        <v>1</v>
      </c>
      <c r="I489" s="1" t="s">
        <v>41</v>
      </c>
      <c r="J489" s="1">
        <v>6</v>
      </c>
      <c r="L489" s="1" t="s">
        <v>1632</v>
      </c>
      <c r="Q489" s="1" t="s">
        <v>46</v>
      </c>
      <c r="R489" s="1" t="s">
        <v>47</v>
      </c>
      <c r="S489" s="1" t="s">
        <v>47</v>
      </c>
      <c r="T489" s="1" t="s">
        <v>48</v>
      </c>
      <c r="U489" s="1" t="s">
        <v>47</v>
      </c>
      <c r="V489" s="1" t="s">
        <v>47</v>
      </c>
      <c r="W489" s="1" t="s">
        <v>47</v>
      </c>
      <c r="Z489" s="1">
        <v>0</v>
      </c>
      <c r="AB489" s="1" t="s">
        <v>47</v>
      </c>
      <c r="AD489" s="1">
        <v>527013</v>
      </c>
      <c r="AF489" s="1" t="s">
        <v>47</v>
      </c>
      <c r="AG489" s="1" t="s">
        <v>47</v>
      </c>
      <c r="AH489" s="1" t="s">
        <v>49</v>
      </c>
      <c r="AI489" s="1" t="s">
        <v>47</v>
      </c>
      <c r="AK489" s="1" t="s">
        <v>48</v>
      </c>
      <c r="AL489" s="1" t="s">
        <v>1636</v>
      </c>
    </row>
    <row r="490" spans="1:38">
      <c r="A490" s="1">
        <v>5137854</v>
      </c>
      <c r="B490" s="1" t="s">
        <v>1637</v>
      </c>
      <c r="C490" s="1" t="str">
        <f>"9781292024523"</f>
        <v>9781292024523</v>
      </c>
      <c r="D490" s="1" t="str">
        <f>"9781292037318"</f>
        <v>9781292037318</v>
      </c>
      <c r="E490" s="1" t="s">
        <v>52</v>
      </c>
      <c r="F490" s="1" t="s">
        <v>40</v>
      </c>
      <c r="G490" s="3">
        <v>41478</v>
      </c>
      <c r="H490" s="3">
        <v>1</v>
      </c>
      <c r="I490" s="1" t="s">
        <v>41</v>
      </c>
      <c r="J490" s="1">
        <v>4</v>
      </c>
      <c r="L490" s="1" t="s">
        <v>1638</v>
      </c>
      <c r="M490" s="1" t="s">
        <v>1639</v>
      </c>
      <c r="O490" s="1">
        <v>530</v>
      </c>
      <c r="Q490" s="1" t="s">
        <v>46</v>
      </c>
      <c r="R490" s="1" t="s">
        <v>47</v>
      </c>
      <c r="S490" s="1" t="s">
        <v>47</v>
      </c>
      <c r="T490" s="1" t="s">
        <v>48</v>
      </c>
      <c r="U490" s="1" t="s">
        <v>47</v>
      </c>
      <c r="V490" s="1" t="s">
        <v>47</v>
      </c>
      <c r="W490" s="1" t="s">
        <v>47</v>
      </c>
      <c r="Z490" s="1">
        <v>0</v>
      </c>
      <c r="AB490" s="1" t="s">
        <v>47</v>
      </c>
      <c r="AD490" s="1">
        <v>527205</v>
      </c>
      <c r="AF490" s="1" t="s">
        <v>47</v>
      </c>
      <c r="AG490" s="1" t="s">
        <v>47</v>
      </c>
      <c r="AH490" s="1" t="s">
        <v>49</v>
      </c>
      <c r="AI490" s="1" t="s">
        <v>47</v>
      </c>
      <c r="AK490" s="1" t="s">
        <v>48</v>
      </c>
      <c r="AL490" s="1" t="s">
        <v>1640</v>
      </c>
    </row>
    <row r="491" spans="1:38">
      <c r="A491" s="1">
        <v>5137856</v>
      </c>
      <c r="B491" s="1" t="s">
        <v>1641</v>
      </c>
      <c r="C491" s="1" t="str">
        <f>"9781292039749"</f>
        <v>9781292039749</v>
      </c>
      <c r="D491" s="1" t="str">
        <f>"9781292053196"</f>
        <v>9781292053196</v>
      </c>
      <c r="E491" s="1" t="s">
        <v>52</v>
      </c>
      <c r="F491" s="1" t="s">
        <v>40</v>
      </c>
      <c r="G491" s="3">
        <v>41515</v>
      </c>
      <c r="H491" s="3">
        <v>1</v>
      </c>
      <c r="I491" s="1" t="s">
        <v>41</v>
      </c>
      <c r="J491" s="1">
        <v>4</v>
      </c>
      <c r="L491" s="1" t="s">
        <v>1638</v>
      </c>
      <c r="M491" s="1" t="s">
        <v>1633</v>
      </c>
      <c r="O491" s="1">
        <v>530</v>
      </c>
      <c r="Q491" s="1" t="s">
        <v>46</v>
      </c>
      <c r="R491" s="1" t="s">
        <v>47</v>
      </c>
      <c r="S491" s="1" t="s">
        <v>47</v>
      </c>
      <c r="T491" s="1" t="s">
        <v>48</v>
      </c>
      <c r="U491" s="1" t="s">
        <v>47</v>
      </c>
      <c r="V491" s="1" t="s">
        <v>47</v>
      </c>
      <c r="W491" s="1" t="s">
        <v>47</v>
      </c>
      <c r="Z491" s="1">
        <v>0</v>
      </c>
      <c r="AB491" s="1" t="s">
        <v>47</v>
      </c>
      <c r="AD491" s="1">
        <v>543503</v>
      </c>
      <c r="AF491" s="1" t="s">
        <v>47</v>
      </c>
      <c r="AG491" s="1" t="s">
        <v>47</v>
      </c>
      <c r="AH491" s="1" t="s">
        <v>49</v>
      </c>
      <c r="AI491" s="1" t="s">
        <v>47</v>
      </c>
      <c r="AK491" s="1" t="s">
        <v>48</v>
      </c>
      <c r="AL491" s="1" t="s">
        <v>1642</v>
      </c>
    </row>
    <row r="492" spans="1:38">
      <c r="A492" s="1">
        <v>5137857</v>
      </c>
      <c r="B492" s="1" t="s">
        <v>1643</v>
      </c>
      <c r="C492" s="1" t="str">
        <f>"9781292039763"</f>
        <v>9781292039763</v>
      </c>
      <c r="D492" s="1" t="str">
        <f>"9781292053202"</f>
        <v>9781292053202</v>
      </c>
      <c r="E492" s="1" t="s">
        <v>52</v>
      </c>
      <c r="F492" s="1" t="s">
        <v>40</v>
      </c>
      <c r="G492" s="3">
        <v>41515</v>
      </c>
      <c r="H492" s="3">
        <v>1</v>
      </c>
      <c r="I492" s="1" t="s">
        <v>41</v>
      </c>
      <c r="J492" s="1">
        <v>4</v>
      </c>
      <c r="L492" s="1" t="s">
        <v>1638</v>
      </c>
      <c r="M492" s="1" t="s">
        <v>1639</v>
      </c>
      <c r="O492" s="1">
        <v>530</v>
      </c>
      <c r="Q492" s="1" t="s">
        <v>46</v>
      </c>
      <c r="R492" s="1" t="s">
        <v>47</v>
      </c>
      <c r="S492" s="1" t="s">
        <v>47</v>
      </c>
      <c r="T492" s="1" t="s">
        <v>48</v>
      </c>
      <c r="U492" s="1" t="s">
        <v>47</v>
      </c>
      <c r="V492" s="1" t="s">
        <v>47</v>
      </c>
      <c r="W492" s="1" t="s">
        <v>47</v>
      </c>
      <c r="Z492" s="1">
        <v>0</v>
      </c>
      <c r="AB492" s="1" t="s">
        <v>47</v>
      </c>
      <c r="AD492" s="1">
        <v>543610</v>
      </c>
      <c r="AF492" s="1" t="s">
        <v>47</v>
      </c>
      <c r="AG492" s="1" t="s">
        <v>47</v>
      </c>
      <c r="AH492" s="1" t="s">
        <v>49</v>
      </c>
      <c r="AI492" s="1" t="s">
        <v>47</v>
      </c>
      <c r="AK492" s="1" t="s">
        <v>48</v>
      </c>
      <c r="AL492" s="1" t="s">
        <v>1644</v>
      </c>
    </row>
    <row r="493" spans="1:38">
      <c r="A493" s="1">
        <v>5137858</v>
      </c>
      <c r="B493" s="1" t="s">
        <v>1645</v>
      </c>
      <c r="C493" s="1" t="str">
        <f>"9781292026183"</f>
        <v>9781292026183</v>
      </c>
      <c r="D493" s="1" t="str">
        <f>"9781292038582"</f>
        <v>9781292038582</v>
      </c>
      <c r="E493" s="1" t="s">
        <v>52</v>
      </c>
      <c r="F493" s="1" t="s">
        <v>40</v>
      </c>
      <c r="G493" s="3">
        <v>41478</v>
      </c>
      <c r="H493" s="3">
        <v>1</v>
      </c>
      <c r="I493" s="1" t="s">
        <v>41</v>
      </c>
      <c r="J493" s="1">
        <v>14</v>
      </c>
      <c r="L493" s="1" t="s">
        <v>1646</v>
      </c>
      <c r="M493" s="1" t="s">
        <v>1191</v>
      </c>
      <c r="O493" s="1">
        <v>604.20000000000005</v>
      </c>
      <c r="Q493" s="1" t="s">
        <v>46</v>
      </c>
      <c r="R493" s="1" t="s">
        <v>47</v>
      </c>
      <c r="S493" s="1" t="s">
        <v>47</v>
      </c>
      <c r="T493" s="1" t="s">
        <v>48</v>
      </c>
      <c r="U493" s="1" t="s">
        <v>47</v>
      </c>
      <c r="V493" s="1" t="s">
        <v>47</v>
      </c>
      <c r="W493" s="1" t="s">
        <v>47</v>
      </c>
      <c r="Z493" s="1">
        <v>0</v>
      </c>
      <c r="AB493" s="1" t="s">
        <v>47</v>
      </c>
      <c r="AD493" s="1">
        <v>527060</v>
      </c>
      <c r="AF493" s="1" t="s">
        <v>47</v>
      </c>
      <c r="AG493" s="1" t="s">
        <v>47</v>
      </c>
      <c r="AH493" s="1" t="s">
        <v>49</v>
      </c>
      <c r="AI493" s="1" t="s">
        <v>47</v>
      </c>
      <c r="AK493" s="1" t="s">
        <v>48</v>
      </c>
      <c r="AL493" s="1" t="s">
        <v>1647</v>
      </c>
    </row>
    <row r="494" spans="1:38">
      <c r="A494" s="1">
        <v>5137859</v>
      </c>
      <c r="B494" s="1" t="s">
        <v>1648</v>
      </c>
      <c r="C494" s="1" t="str">
        <f>"9781292026176"</f>
        <v>9781292026176</v>
      </c>
      <c r="D494" s="1" t="str">
        <f>"9781292038575"</f>
        <v>9781292038575</v>
      </c>
      <c r="E494" s="1" t="s">
        <v>52</v>
      </c>
      <c r="F494" s="1" t="s">
        <v>40</v>
      </c>
      <c r="G494" s="3">
        <v>41509</v>
      </c>
      <c r="H494" s="3">
        <v>1</v>
      </c>
      <c r="I494" s="1" t="s">
        <v>41</v>
      </c>
      <c r="J494" s="1">
        <v>8</v>
      </c>
      <c r="L494" s="1" t="s">
        <v>1649</v>
      </c>
      <c r="M494" s="1" t="s">
        <v>1191</v>
      </c>
      <c r="O494" s="1">
        <v>604.20000000000005</v>
      </c>
      <c r="Q494" s="1" t="s">
        <v>46</v>
      </c>
      <c r="R494" s="1" t="s">
        <v>47</v>
      </c>
      <c r="S494" s="1" t="s">
        <v>47</v>
      </c>
      <c r="T494" s="1" t="s">
        <v>48</v>
      </c>
      <c r="U494" s="1" t="s">
        <v>47</v>
      </c>
      <c r="V494" s="1" t="s">
        <v>47</v>
      </c>
      <c r="W494" s="1" t="s">
        <v>47</v>
      </c>
      <c r="Z494" s="1">
        <v>0</v>
      </c>
      <c r="AB494" s="1" t="s">
        <v>47</v>
      </c>
      <c r="AD494" s="1">
        <v>527275</v>
      </c>
      <c r="AF494" s="1" t="s">
        <v>47</v>
      </c>
      <c r="AG494" s="1" t="s">
        <v>47</v>
      </c>
      <c r="AH494" s="1" t="s">
        <v>49</v>
      </c>
      <c r="AI494" s="1" t="s">
        <v>47</v>
      </c>
      <c r="AK494" s="1" t="s">
        <v>48</v>
      </c>
      <c r="AL494" s="1" t="s">
        <v>1650</v>
      </c>
    </row>
    <row r="495" spans="1:38">
      <c r="A495" s="1">
        <v>5137861</v>
      </c>
      <c r="B495" s="1" t="s">
        <v>1651</v>
      </c>
      <c r="C495" s="1" t="str">
        <f>"9780273734680"</f>
        <v>9780273734680</v>
      </c>
      <c r="D495" s="1" t="str">
        <f>"9780273734697"</f>
        <v>9780273734697</v>
      </c>
      <c r="E495" s="1" t="s">
        <v>52</v>
      </c>
      <c r="F495" s="1" t="s">
        <v>688</v>
      </c>
      <c r="G495" s="3">
        <v>40640</v>
      </c>
      <c r="H495" s="3">
        <v>1</v>
      </c>
      <c r="I495" s="1" t="s">
        <v>41</v>
      </c>
      <c r="J495" s="1">
        <v>4</v>
      </c>
      <c r="L495" s="1" t="s">
        <v>1652</v>
      </c>
      <c r="M495" s="1" t="s">
        <v>690</v>
      </c>
      <c r="N495" s="1" t="s">
        <v>1653</v>
      </c>
      <c r="O495" s="1">
        <v>570.72</v>
      </c>
      <c r="P495" s="1" t="s">
        <v>1654</v>
      </c>
      <c r="Q495" s="1" t="s">
        <v>46</v>
      </c>
      <c r="R495" s="1" t="s">
        <v>47</v>
      </c>
      <c r="S495" s="1" t="s">
        <v>47</v>
      </c>
      <c r="T495" s="1" t="s">
        <v>48</v>
      </c>
      <c r="U495" s="1" t="s">
        <v>47</v>
      </c>
      <c r="V495" s="1" t="s">
        <v>47</v>
      </c>
      <c r="W495" s="1" t="s">
        <v>47</v>
      </c>
      <c r="Z495" s="1">
        <v>0</v>
      </c>
      <c r="AB495" s="1" t="s">
        <v>47</v>
      </c>
      <c r="AD495" s="1">
        <v>317326</v>
      </c>
      <c r="AF495" s="1" t="s">
        <v>47</v>
      </c>
      <c r="AG495" s="1" t="s">
        <v>47</v>
      </c>
      <c r="AH495" s="1" t="s">
        <v>49</v>
      </c>
      <c r="AI495" s="1" t="s">
        <v>47</v>
      </c>
      <c r="AK495" s="1" t="s">
        <v>48</v>
      </c>
      <c r="AL495" s="1" t="s">
        <v>1655</v>
      </c>
    </row>
    <row r="496" spans="1:38">
      <c r="A496" s="1">
        <v>5137862</v>
      </c>
      <c r="B496" s="1" t="s">
        <v>1656</v>
      </c>
      <c r="C496" s="1" t="str">
        <f>"9781292041704"</f>
        <v>9781292041704</v>
      </c>
      <c r="D496" s="1" t="str">
        <f>"9781292053219"</f>
        <v>9781292053219</v>
      </c>
      <c r="E496" s="1" t="s">
        <v>52</v>
      </c>
      <c r="F496" s="1" t="s">
        <v>40</v>
      </c>
      <c r="G496" s="3">
        <v>41579</v>
      </c>
      <c r="H496" s="3">
        <v>1</v>
      </c>
      <c r="I496" s="1" t="s">
        <v>41</v>
      </c>
      <c r="J496" s="1">
        <v>8</v>
      </c>
      <c r="L496" s="1" t="s">
        <v>1657</v>
      </c>
      <c r="M496" s="1" t="s">
        <v>372</v>
      </c>
      <c r="O496" s="1">
        <v>362.9</v>
      </c>
      <c r="Q496" s="1" t="s">
        <v>46</v>
      </c>
      <c r="R496" s="1" t="s">
        <v>47</v>
      </c>
      <c r="S496" s="1" t="s">
        <v>47</v>
      </c>
      <c r="T496" s="1" t="s">
        <v>48</v>
      </c>
      <c r="U496" s="1" t="s">
        <v>47</v>
      </c>
      <c r="V496" s="1" t="s">
        <v>47</v>
      </c>
      <c r="W496" s="1" t="s">
        <v>47</v>
      </c>
      <c r="Z496" s="1">
        <v>0</v>
      </c>
      <c r="AB496" s="1" t="s">
        <v>47</v>
      </c>
      <c r="AD496" s="1">
        <v>543619</v>
      </c>
      <c r="AF496" s="1" t="s">
        <v>47</v>
      </c>
      <c r="AG496" s="1" t="s">
        <v>47</v>
      </c>
      <c r="AH496" s="1" t="s">
        <v>49</v>
      </c>
      <c r="AI496" s="1" t="s">
        <v>47</v>
      </c>
      <c r="AK496" s="1" t="s">
        <v>48</v>
      </c>
      <c r="AL496" s="1" t="s">
        <v>1658</v>
      </c>
    </row>
    <row r="497" spans="1:38">
      <c r="A497" s="1">
        <v>5137863</v>
      </c>
      <c r="B497" s="1" t="s">
        <v>1659</v>
      </c>
      <c r="C497" s="1" t="str">
        <f>"9780273721710"</f>
        <v>9780273721710</v>
      </c>
      <c r="D497" s="1" t="str">
        <f>"9780273727361"</f>
        <v>9780273727361</v>
      </c>
      <c r="E497" s="1" t="s">
        <v>52</v>
      </c>
      <c r="F497" s="1" t="s">
        <v>195</v>
      </c>
      <c r="G497" s="3">
        <v>40211</v>
      </c>
      <c r="H497" s="3">
        <v>1</v>
      </c>
      <c r="I497" s="1" t="s">
        <v>41</v>
      </c>
      <c r="J497" s="1">
        <v>1</v>
      </c>
      <c r="L497" s="1" t="s">
        <v>1660</v>
      </c>
      <c r="M497" s="1" t="s">
        <v>1523</v>
      </c>
      <c r="N497" s="1" t="s">
        <v>791</v>
      </c>
      <c r="O497" s="1">
        <v>808.02</v>
      </c>
      <c r="Q497" s="1" t="s">
        <v>46</v>
      </c>
      <c r="R497" s="1" t="s">
        <v>47</v>
      </c>
      <c r="S497" s="1" t="s">
        <v>47</v>
      </c>
      <c r="T497" s="1" t="s">
        <v>48</v>
      </c>
      <c r="U497" s="1" t="s">
        <v>47</v>
      </c>
      <c r="V497" s="1" t="s">
        <v>47</v>
      </c>
      <c r="W497" s="1" t="s">
        <v>47</v>
      </c>
      <c r="Z497" s="1">
        <v>0</v>
      </c>
      <c r="AB497" s="1" t="s">
        <v>47</v>
      </c>
      <c r="AD497" s="1">
        <v>253013</v>
      </c>
      <c r="AF497" s="1" t="s">
        <v>47</v>
      </c>
      <c r="AG497" s="1" t="s">
        <v>47</v>
      </c>
      <c r="AH497" s="1" t="s">
        <v>49</v>
      </c>
      <c r="AI497" s="1" t="s">
        <v>47</v>
      </c>
      <c r="AK497" s="1" t="s">
        <v>48</v>
      </c>
      <c r="AL497" s="1" t="s">
        <v>1661</v>
      </c>
    </row>
    <row r="498" spans="1:38">
      <c r="A498" s="1">
        <v>5137876</v>
      </c>
      <c r="B498" s="1" t="s">
        <v>1662</v>
      </c>
      <c r="C498" s="1" t="str">
        <f>"9781292026930"</f>
        <v>9781292026930</v>
      </c>
      <c r="D498" s="1" t="str">
        <f>"9781292053233"</f>
        <v>9781292053233</v>
      </c>
      <c r="E498" s="1" t="s">
        <v>52</v>
      </c>
      <c r="F498" s="1" t="s">
        <v>40</v>
      </c>
      <c r="G498" s="3">
        <v>41579</v>
      </c>
      <c r="H498" s="3">
        <v>1</v>
      </c>
      <c r="I498" s="1" t="s">
        <v>41</v>
      </c>
      <c r="J498" s="1">
        <v>6</v>
      </c>
      <c r="L498" s="1" t="s">
        <v>1663</v>
      </c>
      <c r="M498" s="1" t="s">
        <v>1400</v>
      </c>
      <c r="O498" s="1">
        <v>327</v>
      </c>
      <c r="Q498" s="1" t="s">
        <v>46</v>
      </c>
      <c r="R498" s="1" t="s">
        <v>47</v>
      </c>
      <c r="S498" s="1" t="s">
        <v>47</v>
      </c>
      <c r="T498" s="1" t="s">
        <v>48</v>
      </c>
      <c r="U498" s="1" t="s">
        <v>47</v>
      </c>
      <c r="V498" s="1" t="s">
        <v>47</v>
      </c>
      <c r="W498" s="1" t="s">
        <v>47</v>
      </c>
      <c r="Z498" s="1">
        <v>0</v>
      </c>
      <c r="AB498" s="1" t="s">
        <v>47</v>
      </c>
      <c r="AD498" s="1">
        <v>543396</v>
      </c>
      <c r="AF498" s="1" t="s">
        <v>47</v>
      </c>
      <c r="AG498" s="1" t="s">
        <v>47</v>
      </c>
      <c r="AH498" s="1" t="s">
        <v>49</v>
      </c>
      <c r="AI498" s="1" t="s">
        <v>47</v>
      </c>
      <c r="AK498" s="1" t="s">
        <v>48</v>
      </c>
      <c r="AL498" s="1" t="s">
        <v>1664</v>
      </c>
    </row>
    <row r="499" spans="1:38">
      <c r="A499" s="1">
        <v>5137877</v>
      </c>
      <c r="B499" s="1" t="s">
        <v>1665</v>
      </c>
      <c r="C499" s="1" t="str">
        <f>"9781292023090"</f>
        <v>9781292023090</v>
      </c>
      <c r="D499" s="1" t="str">
        <f>"9781292036274"</f>
        <v>9781292036274</v>
      </c>
      <c r="E499" s="1" t="s">
        <v>52</v>
      </c>
      <c r="F499" s="1" t="s">
        <v>40</v>
      </c>
      <c r="G499" s="3">
        <v>41478</v>
      </c>
      <c r="H499" s="3">
        <v>1</v>
      </c>
      <c r="I499" s="1" t="s">
        <v>41</v>
      </c>
      <c r="J499" s="1">
        <v>10</v>
      </c>
      <c r="L499" s="1" t="s">
        <v>1666</v>
      </c>
      <c r="M499" s="1" t="s">
        <v>1400</v>
      </c>
      <c r="O499" s="1">
        <v>327</v>
      </c>
      <c r="Q499" s="1" t="s">
        <v>46</v>
      </c>
      <c r="R499" s="1" t="s">
        <v>47</v>
      </c>
      <c r="S499" s="1" t="s">
        <v>47</v>
      </c>
      <c r="T499" s="1" t="s">
        <v>48</v>
      </c>
      <c r="U499" s="1" t="s">
        <v>47</v>
      </c>
      <c r="V499" s="1" t="s">
        <v>47</v>
      </c>
      <c r="W499" s="1" t="s">
        <v>47</v>
      </c>
      <c r="Z499" s="1">
        <v>0</v>
      </c>
      <c r="AB499" s="1" t="s">
        <v>47</v>
      </c>
      <c r="AD499" s="1">
        <v>527140</v>
      </c>
      <c r="AF499" s="1" t="s">
        <v>47</v>
      </c>
      <c r="AG499" s="1" t="s">
        <v>47</v>
      </c>
      <c r="AH499" s="1" t="s">
        <v>49</v>
      </c>
      <c r="AI499" s="1" t="s">
        <v>47</v>
      </c>
      <c r="AK499" s="1" t="s">
        <v>48</v>
      </c>
      <c r="AL499" s="1" t="s">
        <v>1667</v>
      </c>
    </row>
    <row r="500" spans="1:38">
      <c r="A500" s="1">
        <v>5137881</v>
      </c>
      <c r="B500" s="1" t="s">
        <v>1668</v>
      </c>
      <c r="C500" s="1" t="str">
        <f>"9781292041728"</f>
        <v>9781292041728</v>
      </c>
      <c r="D500" s="1" t="str">
        <f>"9781292053240"</f>
        <v>9781292053240</v>
      </c>
      <c r="E500" s="1" t="s">
        <v>52</v>
      </c>
      <c r="F500" s="1" t="s">
        <v>40</v>
      </c>
      <c r="G500" s="3">
        <v>41579</v>
      </c>
      <c r="H500" s="3">
        <v>1</v>
      </c>
      <c r="I500" s="1" t="s">
        <v>41</v>
      </c>
      <c r="J500" s="1">
        <v>6</v>
      </c>
      <c r="L500" s="1" t="s">
        <v>1669</v>
      </c>
      <c r="M500" s="1" t="s">
        <v>1670</v>
      </c>
      <c r="O500" s="1">
        <v>649.1</v>
      </c>
      <c r="Q500" s="1" t="s">
        <v>46</v>
      </c>
      <c r="R500" s="1" t="s">
        <v>47</v>
      </c>
      <c r="S500" s="1" t="s">
        <v>47</v>
      </c>
      <c r="T500" s="1" t="s">
        <v>48</v>
      </c>
      <c r="U500" s="1" t="s">
        <v>47</v>
      </c>
      <c r="V500" s="1" t="s">
        <v>47</v>
      </c>
      <c r="W500" s="1" t="s">
        <v>47</v>
      </c>
      <c r="Z500" s="1">
        <v>0</v>
      </c>
      <c r="AB500" s="1" t="s">
        <v>47</v>
      </c>
      <c r="AD500" s="1">
        <v>543373</v>
      </c>
      <c r="AF500" s="1" t="s">
        <v>47</v>
      </c>
      <c r="AG500" s="1" t="s">
        <v>47</v>
      </c>
      <c r="AH500" s="1" t="s">
        <v>49</v>
      </c>
      <c r="AI500" s="1" t="s">
        <v>47</v>
      </c>
      <c r="AK500" s="1" t="s">
        <v>48</v>
      </c>
      <c r="AL500" s="1" t="s">
        <v>1671</v>
      </c>
    </row>
    <row r="501" spans="1:38">
      <c r="A501" s="1">
        <v>5137882</v>
      </c>
      <c r="B501" s="1" t="s">
        <v>1478</v>
      </c>
      <c r="C501" s="1" t="str">
        <f>"9781292025131"</f>
        <v>9781292025131</v>
      </c>
      <c r="D501" s="1" t="str">
        <f>"9781292037721"</f>
        <v>9781292037721</v>
      </c>
      <c r="E501" s="1" t="s">
        <v>52</v>
      </c>
      <c r="F501" s="1" t="s">
        <v>40</v>
      </c>
      <c r="G501" s="3">
        <v>41478</v>
      </c>
      <c r="H501" s="3">
        <v>1</v>
      </c>
      <c r="I501" s="1" t="s">
        <v>41</v>
      </c>
      <c r="J501" s="1">
        <v>3</v>
      </c>
      <c r="L501" s="1" t="s">
        <v>1672</v>
      </c>
      <c r="M501" s="1" t="s">
        <v>242</v>
      </c>
      <c r="O501" s="1">
        <v>515.35</v>
      </c>
      <c r="Q501" s="1" t="s">
        <v>46</v>
      </c>
      <c r="R501" s="1" t="s">
        <v>47</v>
      </c>
      <c r="S501" s="1" t="s">
        <v>47</v>
      </c>
      <c r="T501" s="1" t="s">
        <v>48</v>
      </c>
      <c r="U501" s="1" t="s">
        <v>47</v>
      </c>
      <c r="V501" s="1" t="s">
        <v>47</v>
      </c>
      <c r="W501" s="1" t="s">
        <v>47</v>
      </c>
      <c r="Z501" s="1">
        <v>0</v>
      </c>
      <c r="AB501" s="1" t="s">
        <v>47</v>
      </c>
      <c r="AD501" s="1">
        <v>527215</v>
      </c>
      <c r="AF501" s="1" t="s">
        <v>47</v>
      </c>
      <c r="AG501" s="1" t="s">
        <v>47</v>
      </c>
      <c r="AH501" s="1" t="s">
        <v>49</v>
      </c>
      <c r="AI501" s="1" t="s">
        <v>47</v>
      </c>
      <c r="AK501" s="1" t="s">
        <v>48</v>
      </c>
      <c r="AL501" s="1" t="s">
        <v>1673</v>
      </c>
    </row>
    <row r="502" spans="1:38">
      <c r="A502" s="1">
        <v>5137888</v>
      </c>
      <c r="B502" s="1" t="s">
        <v>1674</v>
      </c>
      <c r="C502" s="1" t="str">
        <f>"9781447904441"</f>
        <v>9781447904441</v>
      </c>
      <c r="D502" s="1" t="str">
        <f>"9781447904458"</f>
        <v>9781447904458</v>
      </c>
      <c r="E502" s="1" t="s">
        <v>52</v>
      </c>
      <c r="F502" s="1" t="s">
        <v>40</v>
      </c>
      <c r="G502" s="3">
        <v>41396</v>
      </c>
      <c r="H502" s="3">
        <v>1</v>
      </c>
      <c r="I502" s="1" t="s">
        <v>41</v>
      </c>
      <c r="J502" s="1">
        <v>2</v>
      </c>
      <c r="L502" s="1" t="s">
        <v>1675</v>
      </c>
      <c r="M502" s="1" t="s">
        <v>162</v>
      </c>
      <c r="N502" s="1" t="s">
        <v>1676</v>
      </c>
      <c r="O502" s="1">
        <v>343.24072100000001</v>
      </c>
      <c r="P502" s="1" t="s">
        <v>1677</v>
      </c>
      <c r="Q502" s="1" t="s">
        <v>46</v>
      </c>
      <c r="R502" s="1" t="s">
        <v>47</v>
      </c>
      <c r="S502" s="1" t="s">
        <v>47</v>
      </c>
      <c r="T502" s="1" t="s">
        <v>48</v>
      </c>
      <c r="U502" s="1" t="s">
        <v>47</v>
      </c>
      <c r="V502" s="1" t="s">
        <v>47</v>
      </c>
      <c r="W502" s="1" t="s">
        <v>47</v>
      </c>
      <c r="Z502" s="1">
        <v>0</v>
      </c>
      <c r="AB502" s="1" t="s">
        <v>47</v>
      </c>
      <c r="AD502" s="1">
        <v>485121</v>
      </c>
      <c r="AF502" s="1" t="s">
        <v>47</v>
      </c>
      <c r="AG502" s="1" t="s">
        <v>47</v>
      </c>
      <c r="AH502" s="1" t="s">
        <v>49</v>
      </c>
      <c r="AI502" s="1" t="s">
        <v>47</v>
      </c>
      <c r="AK502" s="1" t="s">
        <v>48</v>
      </c>
      <c r="AL502" s="1" t="s">
        <v>1678</v>
      </c>
    </row>
    <row r="503" spans="1:38">
      <c r="A503" s="1">
        <v>5137889</v>
      </c>
      <c r="B503" s="1" t="s">
        <v>1679</v>
      </c>
      <c r="C503" s="1" t="str">
        <f>"9781292042497"</f>
        <v>9781292042497</v>
      </c>
      <c r="D503" s="1" t="str">
        <f>"9781292053257"</f>
        <v>9781292053257</v>
      </c>
      <c r="E503" s="1" t="s">
        <v>52</v>
      </c>
      <c r="F503" s="1" t="s">
        <v>40</v>
      </c>
      <c r="G503" s="3">
        <v>41579</v>
      </c>
      <c r="H503" s="3">
        <v>1</v>
      </c>
      <c r="I503" s="1" t="s">
        <v>41</v>
      </c>
      <c r="J503" s="1">
        <v>2</v>
      </c>
      <c r="L503" s="1" t="s">
        <v>1680</v>
      </c>
      <c r="M503" s="1" t="s">
        <v>1681</v>
      </c>
      <c r="O503" s="1">
        <v>580</v>
      </c>
      <c r="Q503" s="1" t="s">
        <v>46</v>
      </c>
      <c r="R503" s="1" t="s">
        <v>47</v>
      </c>
      <c r="S503" s="1" t="s">
        <v>47</v>
      </c>
      <c r="T503" s="1" t="s">
        <v>48</v>
      </c>
      <c r="U503" s="1" t="s">
        <v>47</v>
      </c>
      <c r="V503" s="1" t="s">
        <v>47</v>
      </c>
      <c r="W503" s="1" t="s">
        <v>47</v>
      </c>
      <c r="Z503" s="1">
        <v>0</v>
      </c>
      <c r="AB503" s="1" t="s">
        <v>47</v>
      </c>
      <c r="AD503" s="1">
        <v>543601</v>
      </c>
      <c r="AF503" s="1" t="s">
        <v>47</v>
      </c>
      <c r="AG503" s="1" t="s">
        <v>47</v>
      </c>
      <c r="AH503" s="1" t="s">
        <v>49</v>
      </c>
      <c r="AI503" s="1" t="s">
        <v>47</v>
      </c>
      <c r="AK503" s="1" t="s">
        <v>48</v>
      </c>
      <c r="AL503" s="1" t="s">
        <v>1682</v>
      </c>
    </row>
    <row r="504" spans="1:38">
      <c r="A504" s="1">
        <v>5137896</v>
      </c>
      <c r="B504" s="1" t="s">
        <v>1683</v>
      </c>
      <c r="C504" s="1" t="str">
        <f>""</f>
        <v/>
      </c>
      <c r="D504" s="1" t="str">
        <f>"9781292001142"</f>
        <v>9781292001142</v>
      </c>
      <c r="E504" s="1" t="s">
        <v>52</v>
      </c>
      <c r="F504" s="1" t="s">
        <v>110</v>
      </c>
      <c r="G504" s="3">
        <v>41550</v>
      </c>
      <c r="H504" s="3">
        <v>1</v>
      </c>
      <c r="I504" s="1" t="s">
        <v>41</v>
      </c>
      <c r="J504" s="1">
        <v>1</v>
      </c>
      <c r="L504" s="1" t="s">
        <v>1684</v>
      </c>
      <c r="Q504" s="1" t="s">
        <v>46</v>
      </c>
      <c r="R504" s="1" t="s">
        <v>47</v>
      </c>
      <c r="S504" s="1" t="s">
        <v>47</v>
      </c>
      <c r="T504" s="1" t="s">
        <v>48</v>
      </c>
      <c r="U504" s="1" t="s">
        <v>47</v>
      </c>
      <c r="V504" s="1" t="s">
        <v>47</v>
      </c>
      <c r="W504" s="1" t="s">
        <v>47</v>
      </c>
      <c r="Z504" s="1">
        <v>0</v>
      </c>
      <c r="AB504" s="1" t="s">
        <v>47</v>
      </c>
      <c r="AD504" s="1">
        <v>527562</v>
      </c>
      <c r="AF504" s="1" t="s">
        <v>47</v>
      </c>
      <c r="AG504" s="1" t="s">
        <v>47</v>
      </c>
      <c r="AH504" s="1" t="s">
        <v>49</v>
      </c>
      <c r="AI504" s="1" t="s">
        <v>47</v>
      </c>
      <c r="AK504" s="1" t="s">
        <v>48</v>
      </c>
      <c r="AL504" s="1" t="s">
        <v>1685</v>
      </c>
    </row>
    <row r="505" spans="1:38">
      <c r="A505" s="1">
        <v>5137898</v>
      </c>
      <c r="B505" s="1" t="s">
        <v>1686</v>
      </c>
      <c r="C505" s="1" t="str">
        <f>"9781292042169"</f>
        <v>9781292042169</v>
      </c>
      <c r="D505" s="1" t="str">
        <f>"9781292053301"</f>
        <v>9781292053301</v>
      </c>
      <c r="E505" s="1" t="s">
        <v>52</v>
      </c>
      <c r="F505" s="1" t="s">
        <v>40</v>
      </c>
      <c r="G505" s="3">
        <v>41533</v>
      </c>
      <c r="H505" s="3">
        <v>1</v>
      </c>
      <c r="I505" s="1" t="s">
        <v>41</v>
      </c>
      <c r="J505" s="1">
        <v>8</v>
      </c>
      <c r="L505" s="1" t="s">
        <v>1687</v>
      </c>
      <c r="M505" s="1" t="s">
        <v>1688</v>
      </c>
      <c r="O505" s="1">
        <v>1.42</v>
      </c>
      <c r="Q505" s="1" t="s">
        <v>46</v>
      </c>
      <c r="R505" s="1" t="s">
        <v>47</v>
      </c>
      <c r="S505" s="1" t="s">
        <v>47</v>
      </c>
      <c r="T505" s="1" t="s">
        <v>48</v>
      </c>
      <c r="U505" s="1" t="s">
        <v>47</v>
      </c>
      <c r="V505" s="1" t="s">
        <v>47</v>
      </c>
      <c r="W505" s="1" t="s">
        <v>47</v>
      </c>
      <c r="Z505" s="1">
        <v>0</v>
      </c>
      <c r="AB505" s="1" t="s">
        <v>47</v>
      </c>
      <c r="AF505" s="1" t="s">
        <v>47</v>
      </c>
      <c r="AG505" s="1" t="s">
        <v>47</v>
      </c>
      <c r="AH505" s="1" t="s">
        <v>49</v>
      </c>
      <c r="AI505" s="1" t="s">
        <v>47</v>
      </c>
      <c r="AK505" s="1" t="s">
        <v>48</v>
      </c>
      <c r="AL505" s="1" t="s">
        <v>1689</v>
      </c>
    </row>
    <row r="506" spans="1:38">
      <c r="A506" s="1">
        <v>5137906</v>
      </c>
      <c r="B506" s="1" t="s">
        <v>1690</v>
      </c>
      <c r="C506" s="1" t="str">
        <f>"9781292042596"</f>
        <v>9781292042596</v>
      </c>
      <c r="D506" s="1" t="str">
        <f>"9781292053356"</f>
        <v>9781292053356</v>
      </c>
      <c r="E506" s="1" t="s">
        <v>52</v>
      </c>
      <c r="F506" s="1" t="s">
        <v>40</v>
      </c>
      <c r="G506" s="3">
        <v>41579</v>
      </c>
      <c r="H506" s="3">
        <v>1</v>
      </c>
      <c r="I506" s="1" t="s">
        <v>41</v>
      </c>
      <c r="J506" s="1">
        <v>11</v>
      </c>
      <c r="L506" s="1" t="s">
        <v>1691</v>
      </c>
      <c r="M506" s="1" t="s">
        <v>1156</v>
      </c>
      <c r="O506" s="1">
        <v>781.65</v>
      </c>
      <c r="Q506" s="1" t="s">
        <v>46</v>
      </c>
      <c r="R506" s="1" t="s">
        <v>47</v>
      </c>
      <c r="S506" s="1" t="s">
        <v>47</v>
      </c>
      <c r="T506" s="1" t="s">
        <v>48</v>
      </c>
      <c r="U506" s="1" t="s">
        <v>47</v>
      </c>
      <c r="V506" s="1" t="s">
        <v>47</v>
      </c>
      <c r="W506" s="1" t="s">
        <v>47</v>
      </c>
      <c r="Z506" s="1">
        <v>0</v>
      </c>
      <c r="AB506" s="1" t="s">
        <v>47</v>
      </c>
      <c r="AD506" s="1">
        <v>543591</v>
      </c>
      <c r="AF506" s="1" t="s">
        <v>47</v>
      </c>
      <c r="AG506" s="1" t="s">
        <v>47</v>
      </c>
      <c r="AH506" s="1" t="s">
        <v>49</v>
      </c>
      <c r="AI506" s="1" t="s">
        <v>47</v>
      </c>
      <c r="AK506" s="1" t="s">
        <v>48</v>
      </c>
      <c r="AL506" s="1" t="s">
        <v>1692</v>
      </c>
    </row>
    <row r="507" spans="1:38">
      <c r="A507" s="1">
        <v>5137910</v>
      </c>
      <c r="B507" s="1" t="s">
        <v>1693</v>
      </c>
      <c r="C507" s="1" t="str">
        <f>"9780273736905"</f>
        <v>9780273736905</v>
      </c>
      <c r="D507" s="1" t="str">
        <f>"9780273736936"</f>
        <v>9780273736936</v>
      </c>
      <c r="E507" s="1" t="s">
        <v>52</v>
      </c>
      <c r="F507" s="1" t="s">
        <v>67</v>
      </c>
      <c r="G507" s="3">
        <v>40725</v>
      </c>
      <c r="H507" s="3">
        <v>1</v>
      </c>
      <c r="I507" s="1" t="s">
        <v>41</v>
      </c>
      <c r="J507" s="1">
        <v>12</v>
      </c>
      <c r="L507" s="1" t="s">
        <v>1694</v>
      </c>
      <c r="M507" s="1" t="s">
        <v>950</v>
      </c>
      <c r="N507" s="1" t="s">
        <v>1695</v>
      </c>
      <c r="O507" s="1">
        <v>330</v>
      </c>
      <c r="P507" s="1" t="s">
        <v>1696</v>
      </c>
      <c r="Q507" s="1" t="s">
        <v>46</v>
      </c>
      <c r="R507" s="1" t="s">
        <v>47</v>
      </c>
      <c r="S507" s="1" t="s">
        <v>47</v>
      </c>
      <c r="T507" s="1" t="s">
        <v>48</v>
      </c>
      <c r="U507" s="1" t="s">
        <v>47</v>
      </c>
      <c r="V507" s="1" t="s">
        <v>47</v>
      </c>
      <c r="W507" s="1" t="s">
        <v>47</v>
      </c>
      <c r="Z507" s="1">
        <v>0</v>
      </c>
      <c r="AB507" s="1" t="s">
        <v>47</v>
      </c>
      <c r="AD507" s="1">
        <v>333397</v>
      </c>
      <c r="AF507" s="1" t="s">
        <v>47</v>
      </c>
      <c r="AG507" s="1" t="s">
        <v>47</v>
      </c>
      <c r="AH507" s="1" t="s">
        <v>49</v>
      </c>
      <c r="AI507" s="1" t="s">
        <v>47</v>
      </c>
      <c r="AK507" s="1" t="s">
        <v>48</v>
      </c>
      <c r="AL507" s="1" t="s">
        <v>1697</v>
      </c>
    </row>
    <row r="508" spans="1:38">
      <c r="A508" s="1">
        <v>5137911</v>
      </c>
      <c r="B508" s="1" t="s">
        <v>1698</v>
      </c>
      <c r="C508" s="1" t="str">
        <f>"9781292024080"</f>
        <v>9781292024080</v>
      </c>
      <c r="D508" s="1" t="str">
        <f>"9781292037141"</f>
        <v>9781292037141</v>
      </c>
      <c r="E508" s="1" t="s">
        <v>52</v>
      </c>
      <c r="F508" s="1" t="s">
        <v>40</v>
      </c>
      <c r="G508" s="3">
        <v>41480</v>
      </c>
      <c r="H508" s="3">
        <v>1</v>
      </c>
      <c r="I508" s="1" t="s">
        <v>41</v>
      </c>
      <c r="J508" s="1">
        <v>2</v>
      </c>
      <c r="L508" s="1" t="s">
        <v>1699</v>
      </c>
      <c r="M508" s="1" t="s">
        <v>1639</v>
      </c>
      <c r="O508" s="1">
        <v>530.12</v>
      </c>
      <c r="Q508" s="1" t="s">
        <v>46</v>
      </c>
      <c r="R508" s="1" t="s">
        <v>47</v>
      </c>
      <c r="S508" s="1" t="s">
        <v>47</v>
      </c>
      <c r="T508" s="1" t="s">
        <v>48</v>
      </c>
      <c r="U508" s="1" t="s">
        <v>47</v>
      </c>
      <c r="V508" s="1" t="s">
        <v>47</v>
      </c>
      <c r="W508" s="1" t="s">
        <v>47</v>
      </c>
      <c r="Z508" s="1">
        <v>0</v>
      </c>
      <c r="AB508" s="1" t="s">
        <v>47</v>
      </c>
      <c r="AD508" s="1">
        <v>527339</v>
      </c>
      <c r="AF508" s="1" t="s">
        <v>47</v>
      </c>
      <c r="AG508" s="1" t="s">
        <v>47</v>
      </c>
      <c r="AH508" s="1" t="s">
        <v>49</v>
      </c>
      <c r="AI508" s="1" t="s">
        <v>47</v>
      </c>
      <c r="AK508" s="1" t="s">
        <v>48</v>
      </c>
      <c r="AL508" s="1" t="s">
        <v>1700</v>
      </c>
    </row>
    <row r="509" spans="1:38">
      <c r="A509" s="1">
        <v>5137912</v>
      </c>
      <c r="B509" s="1" t="s">
        <v>1701</v>
      </c>
      <c r="C509" s="1" t="str">
        <f>"9781292021423"</f>
        <v>9781292021423</v>
      </c>
      <c r="D509" s="1" t="str">
        <f>"9781292034652"</f>
        <v>9781292034652</v>
      </c>
      <c r="E509" s="1" t="s">
        <v>52</v>
      </c>
      <c r="F509" s="1" t="s">
        <v>40</v>
      </c>
      <c r="G509" s="3">
        <v>41481</v>
      </c>
      <c r="H509" s="3">
        <v>1</v>
      </c>
      <c r="I509" s="1" t="s">
        <v>41</v>
      </c>
      <c r="J509" s="1">
        <v>4</v>
      </c>
      <c r="L509" s="1" t="s">
        <v>1702</v>
      </c>
      <c r="M509" s="1" t="s">
        <v>1633</v>
      </c>
      <c r="O509" s="1">
        <v>537.6</v>
      </c>
      <c r="Q509" s="1" t="s">
        <v>46</v>
      </c>
      <c r="R509" s="1" t="s">
        <v>47</v>
      </c>
      <c r="S509" s="1" t="s">
        <v>47</v>
      </c>
      <c r="T509" s="1" t="s">
        <v>48</v>
      </c>
      <c r="U509" s="1" t="s">
        <v>47</v>
      </c>
      <c r="V509" s="1" t="s">
        <v>47</v>
      </c>
      <c r="W509" s="1" t="s">
        <v>47</v>
      </c>
      <c r="Z509" s="1">
        <v>0</v>
      </c>
      <c r="AB509" s="1" t="s">
        <v>47</v>
      </c>
      <c r="AD509" s="1">
        <v>527110</v>
      </c>
      <c r="AF509" s="1" t="s">
        <v>47</v>
      </c>
      <c r="AG509" s="1" t="s">
        <v>47</v>
      </c>
      <c r="AH509" s="1" t="s">
        <v>49</v>
      </c>
      <c r="AI509" s="1" t="s">
        <v>47</v>
      </c>
      <c r="AK509" s="1" t="s">
        <v>48</v>
      </c>
      <c r="AL509" s="1" t="s">
        <v>1703</v>
      </c>
    </row>
    <row r="510" spans="1:38">
      <c r="A510" s="1">
        <v>5137914</v>
      </c>
      <c r="B510" s="1" t="s">
        <v>1704</v>
      </c>
      <c r="C510" s="1" t="str">
        <f>"9781292022796"</f>
        <v>9781292022796</v>
      </c>
      <c r="D510" s="1" t="str">
        <f>"9781292035994"</f>
        <v>9781292035994</v>
      </c>
      <c r="E510" s="1" t="s">
        <v>52</v>
      </c>
      <c r="F510" s="1" t="s">
        <v>40</v>
      </c>
      <c r="G510" s="3">
        <v>41493</v>
      </c>
      <c r="H510" s="3">
        <v>1</v>
      </c>
      <c r="I510" s="1" t="s">
        <v>41</v>
      </c>
      <c r="J510" s="1">
        <v>5</v>
      </c>
      <c r="L510" s="1" t="s">
        <v>1705</v>
      </c>
      <c r="M510" s="1" t="s">
        <v>242</v>
      </c>
      <c r="O510" s="1">
        <v>510</v>
      </c>
      <c r="Q510" s="1" t="s">
        <v>46</v>
      </c>
      <c r="R510" s="1" t="s">
        <v>47</v>
      </c>
      <c r="S510" s="1" t="s">
        <v>47</v>
      </c>
      <c r="T510" s="1" t="s">
        <v>48</v>
      </c>
      <c r="U510" s="1" t="s">
        <v>47</v>
      </c>
      <c r="V510" s="1" t="s">
        <v>47</v>
      </c>
      <c r="W510" s="1" t="s">
        <v>47</v>
      </c>
      <c r="Z510" s="1">
        <v>0</v>
      </c>
      <c r="AB510" s="1" t="s">
        <v>47</v>
      </c>
      <c r="AD510" s="1">
        <v>527085</v>
      </c>
      <c r="AF510" s="1" t="s">
        <v>47</v>
      </c>
      <c r="AG510" s="1" t="s">
        <v>47</v>
      </c>
      <c r="AH510" s="1" t="s">
        <v>49</v>
      </c>
      <c r="AI510" s="1" t="s">
        <v>47</v>
      </c>
      <c r="AK510" s="1" t="s">
        <v>48</v>
      </c>
      <c r="AL510" s="1" t="s">
        <v>1706</v>
      </c>
    </row>
    <row r="511" spans="1:38">
      <c r="A511" s="1">
        <v>5137915</v>
      </c>
      <c r="B511" s="1" t="s">
        <v>907</v>
      </c>
      <c r="C511" s="1" t="str">
        <f>"9781292023359"</f>
        <v>9781292023359</v>
      </c>
      <c r="D511" s="1" t="str">
        <f>"9781292036526"</f>
        <v>9781292036526</v>
      </c>
      <c r="E511" s="1" t="s">
        <v>52</v>
      </c>
      <c r="F511" s="1" t="s">
        <v>40</v>
      </c>
      <c r="G511" s="3">
        <v>41486</v>
      </c>
      <c r="H511" s="3">
        <v>1</v>
      </c>
      <c r="I511" s="1" t="s">
        <v>41</v>
      </c>
      <c r="J511" s="1">
        <v>9</v>
      </c>
      <c r="L511" s="1" t="s">
        <v>1707</v>
      </c>
      <c r="M511" s="1" t="s">
        <v>242</v>
      </c>
      <c r="O511" s="1">
        <v>519.50246500000003</v>
      </c>
      <c r="Q511" s="1" t="s">
        <v>46</v>
      </c>
      <c r="R511" s="1" t="s">
        <v>47</v>
      </c>
      <c r="S511" s="1" t="s">
        <v>47</v>
      </c>
      <c r="T511" s="1" t="s">
        <v>48</v>
      </c>
      <c r="U511" s="1" t="s">
        <v>47</v>
      </c>
      <c r="V511" s="1" t="s">
        <v>47</v>
      </c>
      <c r="W511" s="1" t="s">
        <v>47</v>
      </c>
      <c r="Z511" s="1">
        <v>0</v>
      </c>
      <c r="AB511" s="1" t="s">
        <v>47</v>
      </c>
      <c r="AD511" s="1">
        <v>527236</v>
      </c>
      <c r="AF511" s="1" t="s">
        <v>47</v>
      </c>
      <c r="AG511" s="1" t="s">
        <v>47</v>
      </c>
      <c r="AH511" s="1" t="s">
        <v>49</v>
      </c>
      <c r="AI511" s="1" t="s">
        <v>47</v>
      </c>
      <c r="AK511" s="1" t="s">
        <v>48</v>
      </c>
      <c r="AL511" s="1" t="s">
        <v>1708</v>
      </c>
    </row>
    <row r="512" spans="1:38">
      <c r="A512" s="1">
        <v>5137922</v>
      </c>
      <c r="B512" s="1" t="s">
        <v>1709</v>
      </c>
      <c r="C512" s="1" t="str">
        <f>"9781292041735"</f>
        <v>9781292041735</v>
      </c>
      <c r="D512" s="1" t="str">
        <f>"9781292053370"</f>
        <v>9781292053370</v>
      </c>
      <c r="E512" s="1" t="s">
        <v>52</v>
      </c>
      <c r="F512" s="1" t="s">
        <v>40</v>
      </c>
      <c r="G512" s="3">
        <v>41579</v>
      </c>
      <c r="H512" s="3">
        <v>1</v>
      </c>
      <c r="I512" s="1" t="s">
        <v>41</v>
      </c>
      <c r="J512" s="1">
        <v>8</v>
      </c>
      <c r="L512" s="1" t="s">
        <v>1710</v>
      </c>
      <c r="M512" s="1" t="s">
        <v>1711</v>
      </c>
      <c r="O512" s="1">
        <v>272.39999999999998</v>
      </c>
      <c r="Q512" s="1" t="s">
        <v>46</v>
      </c>
      <c r="R512" s="1" t="s">
        <v>47</v>
      </c>
      <c r="S512" s="1" t="s">
        <v>47</v>
      </c>
      <c r="T512" s="1" t="s">
        <v>48</v>
      </c>
      <c r="U512" s="1" t="s">
        <v>47</v>
      </c>
      <c r="V512" s="1" t="s">
        <v>47</v>
      </c>
      <c r="W512" s="1" t="s">
        <v>47</v>
      </c>
      <c r="Z512" s="1">
        <v>0</v>
      </c>
      <c r="AB512" s="1" t="s">
        <v>47</v>
      </c>
      <c r="AD512" s="1">
        <v>543626</v>
      </c>
      <c r="AF512" s="1" t="s">
        <v>47</v>
      </c>
      <c r="AG512" s="1" t="s">
        <v>47</v>
      </c>
      <c r="AH512" s="1" t="s">
        <v>49</v>
      </c>
      <c r="AI512" s="1" t="s">
        <v>47</v>
      </c>
      <c r="AK512" s="1" t="s">
        <v>48</v>
      </c>
      <c r="AL512" s="1" t="s">
        <v>1712</v>
      </c>
    </row>
    <row r="513" spans="1:38">
      <c r="A513" s="1">
        <v>5137925</v>
      </c>
      <c r="B513" s="1" t="s">
        <v>1713</v>
      </c>
      <c r="C513" s="1" t="str">
        <f>"9781292039831"</f>
        <v>9781292039831</v>
      </c>
      <c r="D513" s="1" t="str">
        <f>"9781292053387"</f>
        <v>9781292053387</v>
      </c>
      <c r="E513" s="1" t="s">
        <v>52</v>
      </c>
      <c r="F513" s="1" t="s">
        <v>40</v>
      </c>
      <c r="G513" s="3">
        <v>41579</v>
      </c>
      <c r="H513" s="3">
        <v>1</v>
      </c>
      <c r="I513" s="1" t="s">
        <v>41</v>
      </c>
      <c r="J513" s="1">
        <v>1</v>
      </c>
      <c r="L513" s="1" t="s">
        <v>1714</v>
      </c>
      <c r="M513" s="1" t="s">
        <v>922</v>
      </c>
      <c r="O513" s="1">
        <v>332.01510000000002</v>
      </c>
      <c r="Q513" s="1" t="s">
        <v>46</v>
      </c>
      <c r="R513" s="1" t="s">
        <v>47</v>
      </c>
      <c r="S513" s="1" t="s">
        <v>47</v>
      </c>
      <c r="T513" s="1" t="s">
        <v>48</v>
      </c>
      <c r="U513" s="1" t="s">
        <v>47</v>
      </c>
      <c r="V513" s="1" t="s">
        <v>47</v>
      </c>
      <c r="W513" s="1" t="s">
        <v>47</v>
      </c>
      <c r="Z513" s="1">
        <v>0</v>
      </c>
      <c r="AB513" s="1" t="s">
        <v>47</v>
      </c>
      <c r="AD513" s="1">
        <v>543563</v>
      </c>
      <c r="AF513" s="1" t="s">
        <v>47</v>
      </c>
      <c r="AG513" s="1" t="s">
        <v>47</v>
      </c>
      <c r="AH513" s="1" t="s">
        <v>49</v>
      </c>
      <c r="AI513" s="1" t="s">
        <v>47</v>
      </c>
      <c r="AK513" s="1" t="s">
        <v>48</v>
      </c>
      <c r="AL513" s="1" t="s">
        <v>1715</v>
      </c>
    </row>
    <row r="514" spans="1:38">
      <c r="A514" s="1">
        <v>5137928</v>
      </c>
      <c r="B514" s="1" t="s">
        <v>1716</v>
      </c>
      <c r="C514" s="1" t="str">
        <f>"9781292039855"</f>
        <v>9781292039855</v>
      </c>
      <c r="D514" s="1" t="str">
        <f>"9781292053394"</f>
        <v>9781292053394</v>
      </c>
      <c r="E514" s="1" t="s">
        <v>52</v>
      </c>
      <c r="F514" s="1" t="s">
        <v>40</v>
      </c>
      <c r="G514" s="3">
        <v>41579</v>
      </c>
      <c r="H514" s="3">
        <v>1</v>
      </c>
      <c r="I514" s="1" t="s">
        <v>41</v>
      </c>
      <c r="J514" s="1">
        <v>5</v>
      </c>
      <c r="L514" s="1" t="s">
        <v>1717</v>
      </c>
      <c r="M514" s="1" t="s">
        <v>242</v>
      </c>
      <c r="O514" s="1">
        <v>515.35299999999995</v>
      </c>
      <c r="Q514" s="1" t="s">
        <v>46</v>
      </c>
      <c r="R514" s="1" t="s">
        <v>47</v>
      </c>
      <c r="S514" s="1" t="s">
        <v>47</v>
      </c>
      <c r="T514" s="1" t="s">
        <v>48</v>
      </c>
      <c r="U514" s="1" t="s">
        <v>47</v>
      </c>
      <c r="V514" s="1" t="s">
        <v>47</v>
      </c>
      <c r="W514" s="1" t="s">
        <v>47</v>
      </c>
      <c r="Z514" s="1">
        <v>0</v>
      </c>
      <c r="AB514" s="1" t="s">
        <v>47</v>
      </c>
      <c r="AD514" s="1">
        <v>543509</v>
      </c>
      <c r="AF514" s="1" t="s">
        <v>47</v>
      </c>
      <c r="AG514" s="1" t="s">
        <v>47</v>
      </c>
      <c r="AH514" s="1" t="s">
        <v>49</v>
      </c>
      <c r="AI514" s="1" t="s">
        <v>47</v>
      </c>
      <c r="AK514" s="1" t="s">
        <v>48</v>
      </c>
      <c r="AL514" s="1" t="s">
        <v>1718</v>
      </c>
    </row>
    <row r="515" spans="1:38">
      <c r="A515" s="1">
        <v>5137934</v>
      </c>
      <c r="B515" s="1" t="s">
        <v>1719</v>
      </c>
      <c r="C515" s="1" t="str">
        <f>"9781292042183"</f>
        <v>9781292042183</v>
      </c>
      <c r="D515" s="1" t="str">
        <f>"9781292053417"</f>
        <v>9781292053417</v>
      </c>
      <c r="E515" s="1" t="s">
        <v>52</v>
      </c>
      <c r="F515" s="1" t="s">
        <v>40</v>
      </c>
      <c r="G515" s="3">
        <v>41550</v>
      </c>
      <c r="H515" s="3">
        <v>1</v>
      </c>
      <c r="I515" s="1" t="s">
        <v>41</v>
      </c>
      <c r="J515" s="1">
        <v>4</v>
      </c>
      <c r="L515" s="1" t="s">
        <v>1720</v>
      </c>
      <c r="Q515" s="1" t="s">
        <v>46</v>
      </c>
      <c r="R515" s="1" t="s">
        <v>47</v>
      </c>
      <c r="S515" s="1" t="s">
        <v>47</v>
      </c>
      <c r="T515" s="1" t="s">
        <v>48</v>
      </c>
      <c r="U515" s="1" t="s">
        <v>47</v>
      </c>
      <c r="V515" s="1" t="s">
        <v>47</v>
      </c>
      <c r="W515" s="1" t="s">
        <v>47</v>
      </c>
      <c r="Z515" s="1">
        <v>0</v>
      </c>
      <c r="AB515" s="1" t="s">
        <v>47</v>
      </c>
      <c r="AD515" s="1">
        <v>543505</v>
      </c>
      <c r="AF515" s="1" t="s">
        <v>47</v>
      </c>
      <c r="AG515" s="1" t="s">
        <v>47</v>
      </c>
      <c r="AH515" s="1" t="s">
        <v>49</v>
      </c>
      <c r="AI515" s="1" t="s">
        <v>47</v>
      </c>
      <c r="AK515" s="1" t="s">
        <v>48</v>
      </c>
      <c r="AL515" s="1" t="s">
        <v>1721</v>
      </c>
    </row>
    <row r="516" spans="1:38">
      <c r="A516" s="1">
        <v>5137946</v>
      </c>
      <c r="B516" s="1" t="s">
        <v>1722</v>
      </c>
      <c r="C516" s="1" t="str">
        <f>"9781292022581"</f>
        <v>9781292022581</v>
      </c>
      <c r="D516" s="1" t="str">
        <f>"9781292035789"</f>
        <v>9781292035789</v>
      </c>
      <c r="E516" s="1" t="s">
        <v>52</v>
      </c>
      <c r="F516" s="1" t="s">
        <v>40</v>
      </c>
      <c r="G516" s="3">
        <v>41478</v>
      </c>
      <c r="H516" s="3">
        <v>1</v>
      </c>
      <c r="I516" s="1" t="s">
        <v>41</v>
      </c>
      <c r="J516" s="1">
        <v>12</v>
      </c>
      <c r="L516" s="1" t="s">
        <v>1723</v>
      </c>
      <c r="M516" s="1" t="s">
        <v>54</v>
      </c>
      <c r="O516" s="1">
        <v>371.9</v>
      </c>
      <c r="Q516" s="1" t="s">
        <v>46</v>
      </c>
      <c r="R516" s="1" t="s">
        <v>47</v>
      </c>
      <c r="S516" s="1" t="s">
        <v>47</v>
      </c>
      <c r="T516" s="1" t="s">
        <v>48</v>
      </c>
      <c r="U516" s="1" t="s">
        <v>47</v>
      </c>
      <c r="V516" s="1" t="s">
        <v>47</v>
      </c>
      <c r="W516" s="1" t="s">
        <v>47</v>
      </c>
      <c r="Z516" s="1">
        <v>0</v>
      </c>
      <c r="AB516" s="1" t="s">
        <v>47</v>
      </c>
      <c r="AF516" s="1" t="s">
        <v>47</v>
      </c>
      <c r="AG516" s="1" t="s">
        <v>47</v>
      </c>
      <c r="AH516" s="1" t="s">
        <v>49</v>
      </c>
      <c r="AI516" s="1" t="s">
        <v>47</v>
      </c>
      <c r="AK516" s="1" t="s">
        <v>48</v>
      </c>
      <c r="AL516" s="1" t="s">
        <v>1724</v>
      </c>
    </row>
    <row r="517" spans="1:38">
      <c r="A517" s="1">
        <v>5137947</v>
      </c>
      <c r="B517" s="1" t="s">
        <v>527</v>
      </c>
      <c r="C517" s="1" t="str">
        <f>"9781405858786"</f>
        <v>9781405858786</v>
      </c>
      <c r="D517" s="1" t="str">
        <f>"9781447922872"</f>
        <v>9781447922872</v>
      </c>
      <c r="E517" s="1" t="s">
        <v>52</v>
      </c>
      <c r="F517" s="1" t="s">
        <v>40</v>
      </c>
      <c r="G517" s="3">
        <v>41137</v>
      </c>
      <c r="H517" s="3">
        <v>1</v>
      </c>
      <c r="I517" s="1" t="s">
        <v>41</v>
      </c>
      <c r="J517" s="1">
        <v>2</v>
      </c>
      <c r="L517" s="1" t="s">
        <v>1725</v>
      </c>
      <c r="M517" s="1" t="s">
        <v>162</v>
      </c>
      <c r="O517" s="1">
        <v>346.42</v>
      </c>
      <c r="Q517" s="1" t="s">
        <v>46</v>
      </c>
      <c r="R517" s="1" t="s">
        <v>47</v>
      </c>
      <c r="S517" s="1" t="s">
        <v>47</v>
      </c>
      <c r="T517" s="1" t="s">
        <v>48</v>
      </c>
      <c r="U517" s="1" t="s">
        <v>47</v>
      </c>
      <c r="V517" s="1" t="s">
        <v>47</v>
      </c>
      <c r="W517" s="1" t="s">
        <v>47</v>
      </c>
      <c r="Z517" s="1">
        <v>0</v>
      </c>
      <c r="AB517" s="1" t="s">
        <v>47</v>
      </c>
      <c r="AD517" s="1">
        <v>463026</v>
      </c>
      <c r="AF517" s="1" t="s">
        <v>47</v>
      </c>
      <c r="AG517" s="1" t="s">
        <v>47</v>
      </c>
      <c r="AH517" s="1" t="s">
        <v>49</v>
      </c>
      <c r="AI517" s="1" t="s">
        <v>47</v>
      </c>
      <c r="AK517" s="1" t="s">
        <v>48</v>
      </c>
      <c r="AL517" s="1" t="s">
        <v>1726</v>
      </c>
    </row>
    <row r="518" spans="1:38">
      <c r="A518" s="1">
        <v>5137951</v>
      </c>
      <c r="B518" s="1" t="s">
        <v>1727</v>
      </c>
      <c r="C518" s="1" t="str">
        <f>"9781292021041"</f>
        <v>9781292021041</v>
      </c>
      <c r="D518" s="1" t="str">
        <f>"9781292034294"</f>
        <v>9781292034294</v>
      </c>
      <c r="E518" s="1" t="s">
        <v>52</v>
      </c>
      <c r="F518" s="1" t="s">
        <v>40</v>
      </c>
      <c r="G518" s="3">
        <v>41473</v>
      </c>
      <c r="H518" s="3">
        <v>1</v>
      </c>
      <c r="I518" s="1" t="s">
        <v>41</v>
      </c>
      <c r="J518" s="1">
        <v>7</v>
      </c>
      <c r="L518" s="1" t="s">
        <v>1728</v>
      </c>
      <c r="M518" s="1" t="s">
        <v>1729</v>
      </c>
      <c r="O518" s="1">
        <v>628.1</v>
      </c>
      <c r="Q518" s="1" t="s">
        <v>46</v>
      </c>
      <c r="R518" s="1" t="s">
        <v>47</v>
      </c>
      <c r="S518" s="1" t="s">
        <v>47</v>
      </c>
      <c r="T518" s="1" t="s">
        <v>48</v>
      </c>
      <c r="U518" s="1" t="s">
        <v>47</v>
      </c>
      <c r="V518" s="1" t="s">
        <v>47</v>
      </c>
      <c r="W518" s="1" t="s">
        <v>47</v>
      </c>
      <c r="Z518" s="1">
        <v>0</v>
      </c>
      <c r="AB518" s="1" t="s">
        <v>47</v>
      </c>
      <c r="AF518" s="1" t="s">
        <v>47</v>
      </c>
      <c r="AG518" s="1" t="s">
        <v>47</v>
      </c>
      <c r="AH518" s="1" t="s">
        <v>49</v>
      </c>
      <c r="AI518" s="1" t="s">
        <v>47</v>
      </c>
      <c r="AK518" s="1" t="s">
        <v>48</v>
      </c>
      <c r="AL518" s="1" t="s">
        <v>1730</v>
      </c>
    </row>
    <row r="519" spans="1:38">
      <c r="A519" s="1">
        <v>5137956</v>
      </c>
      <c r="B519" s="1" t="s">
        <v>1731</v>
      </c>
      <c r="C519" s="1" t="str">
        <f>"9781292040790"</f>
        <v>9781292040790</v>
      </c>
      <c r="D519" s="1" t="str">
        <f>"9781292053479"</f>
        <v>9781292053479</v>
      </c>
      <c r="E519" s="1" t="s">
        <v>52</v>
      </c>
      <c r="F519" s="1" t="s">
        <v>40</v>
      </c>
      <c r="G519" s="3">
        <v>41579</v>
      </c>
      <c r="H519" s="3">
        <v>1</v>
      </c>
      <c r="I519" s="1" t="s">
        <v>41</v>
      </c>
      <c r="J519" s="1">
        <v>5</v>
      </c>
      <c r="L519" s="1" t="s">
        <v>1732</v>
      </c>
      <c r="M519" s="1" t="s">
        <v>100</v>
      </c>
      <c r="O519" s="1">
        <v>158.19999999999999</v>
      </c>
      <c r="Q519" s="1" t="s">
        <v>46</v>
      </c>
      <c r="R519" s="1" t="s">
        <v>47</v>
      </c>
      <c r="S519" s="1" t="s">
        <v>47</v>
      </c>
      <c r="T519" s="1" t="s">
        <v>48</v>
      </c>
      <c r="U519" s="1" t="s">
        <v>47</v>
      </c>
      <c r="V519" s="1" t="s">
        <v>47</v>
      </c>
      <c r="W519" s="1" t="s">
        <v>47</v>
      </c>
      <c r="Z519" s="1">
        <v>0</v>
      </c>
      <c r="AB519" s="1" t="s">
        <v>47</v>
      </c>
      <c r="AD519" s="1">
        <v>543357</v>
      </c>
      <c r="AF519" s="1" t="s">
        <v>47</v>
      </c>
      <c r="AG519" s="1" t="s">
        <v>47</v>
      </c>
      <c r="AH519" s="1" t="s">
        <v>49</v>
      </c>
      <c r="AI519" s="1" t="s">
        <v>47</v>
      </c>
      <c r="AK519" s="1" t="s">
        <v>48</v>
      </c>
      <c r="AL519" s="1" t="s">
        <v>1733</v>
      </c>
    </row>
    <row r="520" spans="1:38">
      <c r="A520" s="1">
        <v>5137958</v>
      </c>
      <c r="B520" s="1" t="s">
        <v>1734</v>
      </c>
      <c r="C520" s="1" t="str">
        <f>"9781408284841"</f>
        <v>9781408284841</v>
      </c>
      <c r="D520" s="1" t="str">
        <f>"9781408284858"</f>
        <v>9781408284858</v>
      </c>
      <c r="E520" s="1" t="s">
        <v>52</v>
      </c>
      <c r="F520" s="1" t="s">
        <v>195</v>
      </c>
      <c r="G520" s="3">
        <v>40878</v>
      </c>
      <c r="H520" s="3">
        <v>1</v>
      </c>
      <c r="I520" s="1" t="s">
        <v>41</v>
      </c>
      <c r="J520" s="1">
        <v>1</v>
      </c>
      <c r="L520" s="1" t="s">
        <v>1735</v>
      </c>
      <c r="M520" s="1" t="s">
        <v>989</v>
      </c>
      <c r="N520" s="1" t="s">
        <v>1736</v>
      </c>
      <c r="O520" s="1">
        <v>372.7</v>
      </c>
      <c r="P520" s="1" t="s">
        <v>1737</v>
      </c>
      <c r="Q520" s="1" t="s">
        <v>46</v>
      </c>
      <c r="R520" s="1" t="s">
        <v>47</v>
      </c>
      <c r="S520" s="1" t="s">
        <v>47</v>
      </c>
      <c r="T520" s="1" t="s">
        <v>48</v>
      </c>
      <c r="U520" s="1" t="s">
        <v>47</v>
      </c>
      <c r="V520" s="1" t="s">
        <v>47</v>
      </c>
      <c r="W520" s="1" t="s">
        <v>47</v>
      </c>
      <c r="Z520" s="1">
        <v>0</v>
      </c>
      <c r="AB520" s="1" t="s">
        <v>47</v>
      </c>
      <c r="AD520" s="1">
        <v>404669</v>
      </c>
      <c r="AF520" s="1" t="s">
        <v>47</v>
      </c>
      <c r="AG520" s="1" t="s">
        <v>47</v>
      </c>
      <c r="AH520" s="1" t="s">
        <v>49</v>
      </c>
      <c r="AI520" s="1" t="s">
        <v>47</v>
      </c>
      <c r="AK520" s="1" t="s">
        <v>48</v>
      </c>
      <c r="AL520" s="1" t="s">
        <v>1738</v>
      </c>
    </row>
    <row r="521" spans="1:38">
      <c r="A521" s="1">
        <v>5137959</v>
      </c>
      <c r="B521" s="1" t="s">
        <v>1739</v>
      </c>
      <c r="C521" s="1" t="str">
        <f>"9781292041551"</f>
        <v>9781292041551</v>
      </c>
      <c r="D521" s="1" t="str">
        <f>"9781292053486"</f>
        <v>9781292053486</v>
      </c>
      <c r="E521" s="1" t="s">
        <v>52</v>
      </c>
      <c r="F521" s="1" t="s">
        <v>40</v>
      </c>
      <c r="G521" s="3">
        <v>41579</v>
      </c>
      <c r="H521" s="3">
        <v>1</v>
      </c>
      <c r="I521" s="1" t="s">
        <v>41</v>
      </c>
      <c r="J521" s="1">
        <v>3</v>
      </c>
      <c r="L521" s="1" t="s">
        <v>1740</v>
      </c>
      <c r="M521" s="1" t="s">
        <v>54</v>
      </c>
      <c r="O521" s="1">
        <v>371.10239999999999</v>
      </c>
      <c r="Q521" s="1" t="s">
        <v>46</v>
      </c>
      <c r="R521" s="1" t="s">
        <v>47</v>
      </c>
      <c r="S521" s="1" t="s">
        <v>47</v>
      </c>
      <c r="T521" s="1" t="s">
        <v>48</v>
      </c>
      <c r="U521" s="1" t="s">
        <v>47</v>
      </c>
      <c r="V521" s="1" t="s">
        <v>47</v>
      </c>
      <c r="W521" s="1" t="s">
        <v>47</v>
      </c>
      <c r="Z521" s="1">
        <v>0</v>
      </c>
      <c r="AB521" s="1" t="s">
        <v>47</v>
      </c>
      <c r="AD521" s="1">
        <v>543523</v>
      </c>
      <c r="AF521" s="1" t="s">
        <v>47</v>
      </c>
      <c r="AG521" s="1" t="s">
        <v>47</v>
      </c>
      <c r="AH521" s="1" t="s">
        <v>49</v>
      </c>
      <c r="AI521" s="1" t="s">
        <v>47</v>
      </c>
      <c r="AK521" s="1" t="s">
        <v>48</v>
      </c>
      <c r="AL521" s="1" t="s">
        <v>1741</v>
      </c>
    </row>
    <row r="522" spans="1:38">
      <c r="A522" s="1">
        <v>5137961</v>
      </c>
      <c r="B522" s="1" t="s">
        <v>1742</v>
      </c>
      <c r="C522" s="1" t="str">
        <f>"9781292024905"</f>
        <v>9781292024905</v>
      </c>
      <c r="D522" s="1" t="str">
        <f>"9781292037547"</f>
        <v>9781292037547</v>
      </c>
      <c r="E522" s="1" t="s">
        <v>52</v>
      </c>
      <c r="F522" s="1" t="s">
        <v>40</v>
      </c>
      <c r="G522" s="3">
        <v>41484</v>
      </c>
      <c r="H522" s="3">
        <v>1</v>
      </c>
      <c r="I522" s="1" t="s">
        <v>41</v>
      </c>
      <c r="J522" s="1">
        <v>10</v>
      </c>
      <c r="L522" s="1" t="s">
        <v>1743</v>
      </c>
      <c r="M522" s="1" t="s">
        <v>54</v>
      </c>
      <c r="O522" s="1">
        <v>372.35043999999999</v>
      </c>
      <c r="Q522" s="1" t="s">
        <v>46</v>
      </c>
      <c r="R522" s="1" t="s">
        <v>47</v>
      </c>
      <c r="S522" s="1" t="s">
        <v>47</v>
      </c>
      <c r="T522" s="1" t="s">
        <v>48</v>
      </c>
      <c r="U522" s="1" t="s">
        <v>47</v>
      </c>
      <c r="V522" s="1" t="s">
        <v>47</v>
      </c>
      <c r="W522" s="1" t="s">
        <v>47</v>
      </c>
      <c r="Z522" s="1">
        <v>0</v>
      </c>
      <c r="AB522" s="1" t="s">
        <v>47</v>
      </c>
      <c r="AD522" s="1">
        <v>527229</v>
      </c>
      <c r="AF522" s="1" t="s">
        <v>47</v>
      </c>
      <c r="AG522" s="1" t="s">
        <v>47</v>
      </c>
      <c r="AH522" s="1" t="s">
        <v>49</v>
      </c>
      <c r="AI522" s="1" t="s">
        <v>47</v>
      </c>
      <c r="AK522" s="1" t="s">
        <v>48</v>
      </c>
      <c r="AL522" s="1" t="s">
        <v>1744</v>
      </c>
    </row>
    <row r="523" spans="1:38">
      <c r="A523" s="1">
        <v>5137962</v>
      </c>
      <c r="B523" s="1" t="s">
        <v>1745</v>
      </c>
      <c r="C523" s="1" t="str">
        <f>"9781292040356"</f>
        <v>9781292040356</v>
      </c>
      <c r="D523" s="1" t="str">
        <f>"9781292053509"</f>
        <v>9781292053509</v>
      </c>
      <c r="E523" s="1" t="s">
        <v>52</v>
      </c>
      <c r="F523" s="1" t="s">
        <v>40</v>
      </c>
      <c r="G523" s="3">
        <v>41579</v>
      </c>
      <c r="H523" s="3">
        <v>1</v>
      </c>
      <c r="I523" s="1" t="s">
        <v>41</v>
      </c>
      <c r="J523" s="1">
        <v>6</v>
      </c>
      <c r="L523" s="1" t="s">
        <v>1746</v>
      </c>
      <c r="M523" s="1" t="s">
        <v>59</v>
      </c>
      <c r="O523" s="1">
        <v>658.81200000000001</v>
      </c>
      <c r="Q523" s="1" t="s">
        <v>46</v>
      </c>
      <c r="R523" s="1" t="s">
        <v>47</v>
      </c>
      <c r="S523" s="1" t="s">
        <v>47</v>
      </c>
      <c r="T523" s="1" t="s">
        <v>48</v>
      </c>
      <c r="U523" s="1" t="s">
        <v>47</v>
      </c>
      <c r="V523" s="1" t="s">
        <v>47</v>
      </c>
      <c r="W523" s="1" t="s">
        <v>47</v>
      </c>
      <c r="Z523" s="1">
        <v>0</v>
      </c>
      <c r="AB523" s="1" t="s">
        <v>47</v>
      </c>
      <c r="AD523" s="1">
        <v>543549</v>
      </c>
      <c r="AF523" s="1" t="s">
        <v>47</v>
      </c>
      <c r="AG523" s="1" t="s">
        <v>47</v>
      </c>
      <c r="AH523" s="1" t="s">
        <v>49</v>
      </c>
      <c r="AI523" s="1" t="s">
        <v>47</v>
      </c>
      <c r="AK523" s="1" t="s">
        <v>48</v>
      </c>
      <c r="AL523" s="1" t="s">
        <v>1747</v>
      </c>
    </row>
    <row r="524" spans="1:38">
      <c r="A524" s="1">
        <v>5137965</v>
      </c>
      <c r="B524" s="1" t="s">
        <v>1748</v>
      </c>
      <c r="C524" s="1" t="str">
        <f>"9781292023267"</f>
        <v>9781292023267</v>
      </c>
      <c r="D524" s="1" t="str">
        <f>"9781292036434"</f>
        <v>9781292036434</v>
      </c>
      <c r="E524" s="1" t="s">
        <v>52</v>
      </c>
      <c r="F524" s="1" t="s">
        <v>40</v>
      </c>
      <c r="G524" s="3">
        <v>41473</v>
      </c>
      <c r="H524" s="3">
        <v>1</v>
      </c>
      <c r="I524" s="1" t="s">
        <v>41</v>
      </c>
      <c r="J524" s="1">
        <v>2</v>
      </c>
      <c r="L524" s="1" t="s">
        <v>1749</v>
      </c>
      <c r="M524" s="1" t="s">
        <v>1639</v>
      </c>
      <c r="O524" s="1">
        <v>539</v>
      </c>
      <c r="Q524" s="1" t="s">
        <v>46</v>
      </c>
      <c r="R524" s="1" t="s">
        <v>47</v>
      </c>
      <c r="S524" s="1" t="s">
        <v>47</v>
      </c>
      <c r="T524" s="1" t="s">
        <v>48</v>
      </c>
      <c r="U524" s="1" t="s">
        <v>47</v>
      </c>
      <c r="V524" s="1" t="s">
        <v>47</v>
      </c>
      <c r="W524" s="1" t="s">
        <v>47</v>
      </c>
      <c r="Z524" s="1">
        <v>0</v>
      </c>
      <c r="AB524" s="1" t="s">
        <v>47</v>
      </c>
      <c r="AD524" s="1">
        <v>527244</v>
      </c>
      <c r="AF524" s="1" t="s">
        <v>47</v>
      </c>
      <c r="AG524" s="1" t="s">
        <v>47</v>
      </c>
      <c r="AH524" s="1" t="s">
        <v>49</v>
      </c>
      <c r="AI524" s="1" t="s">
        <v>47</v>
      </c>
      <c r="AK524" s="1" t="s">
        <v>48</v>
      </c>
      <c r="AL524" s="1" t="s">
        <v>1750</v>
      </c>
    </row>
    <row r="525" spans="1:38">
      <c r="A525" s="1">
        <v>5137970</v>
      </c>
      <c r="B525" s="1" t="s">
        <v>1751</v>
      </c>
      <c r="C525" s="1" t="str">
        <f>"9781292039145"</f>
        <v>9781292039145</v>
      </c>
      <c r="D525" s="1" t="str">
        <f>"9781292053530"</f>
        <v>9781292053530</v>
      </c>
      <c r="E525" s="1" t="s">
        <v>52</v>
      </c>
      <c r="F525" s="1" t="s">
        <v>40</v>
      </c>
      <c r="G525" s="3">
        <v>41579</v>
      </c>
      <c r="H525" s="3">
        <v>1</v>
      </c>
      <c r="I525" s="1" t="s">
        <v>41</v>
      </c>
      <c r="J525" s="1">
        <v>1</v>
      </c>
      <c r="L525" s="1" t="s">
        <v>1752</v>
      </c>
      <c r="M525" s="1" t="s">
        <v>1639</v>
      </c>
      <c r="O525" s="1">
        <v>530.11</v>
      </c>
      <c r="Q525" s="1" t="s">
        <v>46</v>
      </c>
      <c r="R525" s="1" t="s">
        <v>47</v>
      </c>
      <c r="S525" s="1" t="s">
        <v>47</v>
      </c>
      <c r="T525" s="1" t="s">
        <v>48</v>
      </c>
      <c r="U525" s="1" t="s">
        <v>47</v>
      </c>
      <c r="V525" s="1" t="s">
        <v>47</v>
      </c>
      <c r="W525" s="1" t="s">
        <v>47</v>
      </c>
      <c r="Z525" s="1">
        <v>0</v>
      </c>
      <c r="AB525" s="1" t="s">
        <v>47</v>
      </c>
      <c r="AD525" s="1">
        <v>543570</v>
      </c>
      <c r="AF525" s="1" t="s">
        <v>47</v>
      </c>
      <c r="AG525" s="1" t="s">
        <v>47</v>
      </c>
      <c r="AH525" s="1" t="s">
        <v>49</v>
      </c>
      <c r="AI525" s="1" t="s">
        <v>47</v>
      </c>
      <c r="AK525" s="1" t="s">
        <v>48</v>
      </c>
      <c r="AL525" s="1" t="s">
        <v>1753</v>
      </c>
    </row>
    <row r="526" spans="1:38">
      <c r="A526" s="1">
        <v>5137971</v>
      </c>
      <c r="B526" s="1" t="s">
        <v>1754</v>
      </c>
      <c r="C526" s="1" t="str">
        <f>"9781292020884"</f>
        <v>9781292020884</v>
      </c>
      <c r="D526" s="1" t="str">
        <f>"9781292034133"</f>
        <v>9781292034133</v>
      </c>
      <c r="E526" s="1" t="s">
        <v>52</v>
      </c>
      <c r="F526" s="1" t="s">
        <v>40</v>
      </c>
      <c r="G526" s="3">
        <v>41485</v>
      </c>
      <c r="H526" s="3">
        <v>1</v>
      </c>
      <c r="I526" s="1" t="s">
        <v>41</v>
      </c>
      <c r="J526" s="1">
        <v>8</v>
      </c>
      <c r="L526" s="1" t="s">
        <v>1755</v>
      </c>
      <c r="M526" s="1" t="s">
        <v>1225</v>
      </c>
      <c r="O526" s="1">
        <v>631.53</v>
      </c>
      <c r="Q526" s="1" t="s">
        <v>46</v>
      </c>
      <c r="R526" s="1" t="s">
        <v>47</v>
      </c>
      <c r="S526" s="1" t="s">
        <v>47</v>
      </c>
      <c r="T526" s="1" t="s">
        <v>48</v>
      </c>
      <c r="U526" s="1" t="s">
        <v>47</v>
      </c>
      <c r="V526" s="1" t="s">
        <v>47</v>
      </c>
      <c r="W526" s="1" t="s">
        <v>47</v>
      </c>
      <c r="Z526" s="1">
        <v>0</v>
      </c>
      <c r="AB526" s="1" t="s">
        <v>47</v>
      </c>
      <c r="AD526" s="1">
        <v>526978</v>
      </c>
      <c r="AF526" s="1" t="s">
        <v>47</v>
      </c>
      <c r="AG526" s="1" t="s">
        <v>47</v>
      </c>
      <c r="AH526" s="1" t="s">
        <v>49</v>
      </c>
      <c r="AI526" s="1" t="s">
        <v>47</v>
      </c>
      <c r="AK526" s="1" t="s">
        <v>48</v>
      </c>
      <c r="AL526" s="1" t="s">
        <v>1756</v>
      </c>
    </row>
    <row r="527" spans="1:38">
      <c r="A527" s="1">
        <v>5137972</v>
      </c>
      <c r="B527" s="1" t="s">
        <v>1757</v>
      </c>
      <c r="C527" s="1" t="str">
        <f>"9781292025018"</f>
        <v>9781292025018</v>
      </c>
      <c r="D527" s="1" t="str">
        <f>"9781292037646"</f>
        <v>9781292037646</v>
      </c>
      <c r="E527" s="1" t="s">
        <v>52</v>
      </c>
      <c r="F527" s="1" t="s">
        <v>40</v>
      </c>
      <c r="G527" s="3">
        <v>41484</v>
      </c>
      <c r="H527" s="3">
        <v>1</v>
      </c>
      <c r="I527" s="1" t="s">
        <v>41</v>
      </c>
      <c r="J527" s="1">
        <v>2</v>
      </c>
      <c r="L527" s="1" t="s">
        <v>1758</v>
      </c>
      <c r="M527" s="1" t="s">
        <v>242</v>
      </c>
      <c r="O527" s="1">
        <v>515</v>
      </c>
      <c r="Q527" s="1" t="s">
        <v>46</v>
      </c>
      <c r="R527" s="1" t="s">
        <v>47</v>
      </c>
      <c r="S527" s="1" t="s">
        <v>47</v>
      </c>
      <c r="T527" s="1" t="s">
        <v>48</v>
      </c>
      <c r="U527" s="1" t="s">
        <v>47</v>
      </c>
      <c r="V527" s="1" t="s">
        <v>47</v>
      </c>
      <c r="W527" s="1" t="s">
        <v>47</v>
      </c>
      <c r="Z527" s="1">
        <v>0</v>
      </c>
      <c r="AB527" s="1" t="s">
        <v>47</v>
      </c>
      <c r="AD527" s="1">
        <v>527390</v>
      </c>
      <c r="AF527" s="1" t="s">
        <v>47</v>
      </c>
      <c r="AG527" s="1" t="s">
        <v>47</v>
      </c>
      <c r="AH527" s="1" t="s">
        <v>49</v>
      </c>
      <c r="AI527" s="1" t="s">
        <v>47</v>
      </c>
      <c r="AK527" s="1" t="s">
        <v>48</v>
      </c>
      <c r="AL527" s="1" t="s">
        <v>1759</v>
      </c>
    </row>
    <row r="528" spans="1:38">
      <c r="A528" s="1">
        <v>5137981</v>
      </c>
      <c r="B528" s="1" t="s">
        <v>1760</v>
      </c>
      <c r="C528" s="1" t="str">
        <f>"9781292024257"</f>
        <v>9781292024257</v>
      </c>
      <c r="D528" s="1" t="str">
        <f>"9781292037196"</f>
        <v>9781292037196</v>
      </c>
      <c r="E528" s="1" t="s">
        <v>52</v>
      </c>
      <c r="F528" s="1" t="s">
        <v>40</v>
      </c>
      <c r="G528" s="3">
        <v>41481</v>
      </c>
      <c r="H528" s="3">
        <v>1</v>
      </c>
      <c r="I528" s="1" t="s">
        <v>41</v>
      </c>
      <c r="J528" s="1">
        <v>4</v>
      </c>
      <c r="L528" s="1" t="s">
        <v>1761</v>
      </c>
      <c r="M528" s="1" t="s">
        <v>556</v>
      </c>
      <c r="O528" s="1">
        <v>6.6</v>
      </c>
      <c r="Q528" s="1" t="s">
        <v>46</v>
      </c>
      <c r="R528" s="1" t="s">
        <v>47</v>
      </c>
      <c r="S528" s="1" t="s">
        <v>47</v>
      </c>
      <c r="T528" s="1" t="s">
        <v>48</v>
      </c>
      <c r="U528" s="1" t="s">
        <v>47</v>
      </c>
      <c r="V528" s="1" t="s">
        <v>47</v>
      </c>
      <c r="W528" s="1" t="s">
        <v>47</v>
      </c>
      <c r="Z528" s="1">
        <v>0</v>
      </c>
      <c r="AB528" s="1" t="s">
        <v>47</v>
      </c>
      <c r="AD528" s="1">
        <v>527162</v>
      </c>
      <c r="AF528" s="1" t="s">
        <v>47</v>
      </c>
      <c r="AG528" s="1" t="s">
        <v>47</v>
      </c>
      <c r="AH528" s="1" t="s">
        <v>49</v>
      </c>
      <c r="AI528" s="1" t="s">
        <v>47</v>
      </c>
      <c r="AK528" s="1" t="s">
        <v>48</v>
      </c>
      <c r="AL528" s="1" t="s">
        <v>1762</v>
      </c>
    </row>
    <row r="529" spans="1:38">
      <c r="A529" s="1">
        <v>5137983</v>
      </c>
      <c r="B529" s="1" t="s">
        <v>1763</v>
      </c>
      <c r="C529" s="1" t="str">
        <f>"9781292021577"</f>
        <v>9781292021577</v>
      </c>
      <c r="D529" s="1" t="str">
        <f>"9781292034805"</f>
        <v>9781292034805</v>
      </c>
      <c r="E529" s="1" t="s">
        <v>52</v>
      </c>
      <c r="F529" s="1" t="s">
        <v>40</v>
      </c>
      <c r="G529" s="3">
        <v>41513</v>
      </c>
      <c r="H529" s="3">
        <v>1</v>
      </c>
      <c r="I529" s="1" t="s">
        <v>41</v>
      </c>
      <c r="J529" s="1">
        <v>4</v>
      </c>
      <c r="L529" s="1" t="s">
        <v>1764</v>
      </c>
      <c r="Q529" s="1" t="s">
        <v>46</v>
      </c>
      <c r="R529" s="1" t="s">
        <v>47</v>
      </c>
      <c r="S529" s="1" t="s">
        <v>47</v>
      </c>
      <c r="T529" s="1" t="s">
        <v>48</v>
      </c>
      <c r="U529" s="1" t="s">
        <v>47</v>
      </c>
      <c r="V529" s="1" t="s">
        <v>47</v>
      </c>
      <c r="W529" s="1" t="s">
        <v>47</v>
      </c>
      <c r="Z529" s="1">
        <v>0</v>
      </c>
      <c r="AB529" s="1" t="s">
        <v>47</v>
      </c>
      <c r="AD529" s="1">
        <v>527420</v>
      </c>
      <c r="AF529" s="1" t="s">
        <v>47</v>
      </c>
      <c r="AG529" s="1" t="s">
        <v>47</v>
      </c>
      <c r="AH529" s="1" t="s">
        <v>49</v>
      </c>
      <c r="AI529" s="1" t="s">
        <v>47</v>
      </c>
      <c r="AK529" s="1" t="s">
        <v>48</v>
      </c>
      <c r="AL529" s="1" t="s">
        <v>1765</v>
      </c>
    </row>
    <row r="530" spans="1:38">
      <c r="A530" s="1">
        <v>5137993</v>
      </c>
      <c r="B530" s="1" t="s">
        <v>1766</v>
      </c>
      <c r="C530" s="1" t="str">
        <f>"9780273761228"</f>
        <v>9780273761228</v>
      </c>
      <c r="D530" s="1" t="str">
        <f>"9780273769637"</f>
        <v>9780273769637</v>
      </c>
      <c r="E530" s="1" t="s">
        <v>52</v>
      </c>
      <c r="F530" s="1" t="s">
        <v>84</v>
      </c>
      <c r="G530" s="3">
        <v>40842</v>
      </c>
      <c r="H530" s="3">
        <v>1</v>
      </c>
      <c r="I530" s="1" t="s">
        <v>41</v>
      </c>
      <c r="J530" s="1">
        <v>2</v>
      </c>
      <c r="L530" s="1" t="s">
        <v>1767</v>
      </c>
      <c r="M530" s="1" t="s">
        <v>100</v>
      </c>
      <c r="N530" s="1" t="s">
        <v>101</v>
      </c>
      <c r="O530" s="1">
        <v>158</v>
      </c>
      <c r="P530" s="1" t="s">
        <v>1768</v>
      </c>
      <c r="Q530" s="1" t="s">
        <v>46</v>
      </c>
      <c r="R530" s="1" t="s">
        <v>47</v>
      </c>
      <c r="S530" s="1" t="s">
        <v>47</v>
      </c>
      <c r="T530" s="1" t="s">
        <v>48</v>
      </c>
      <c r="U530" s="1" t="s">
        <v>47</v>
      </c>
      <c r="V530" s="1" t="s">
        <v>47</v>
      </c>
      <c r="W530" s="1" t="s">
        <v>47</v>
      </c>
      <c r="Z530" s="1">
        <v>0</v>
      </c>
      <c r="AB530" s="1" t="s">
        <v>47</v>
      </c>
      <c r="AD530" s="1">
        <v>404656</v>
      </c>
      <c r="AF530" s="1" t="s">
        <v>47</v>
      </c>
      <c r="AG530" s="1" t="s">
        <v>47</v>
      </c>
      <c r="AH530" s="1" t="s">
        <v>49</v>
      </c>
      <c r="AI530" s="1" t="s">
        <v>47</v>
      </c>
      <c r="AK530" s="1" t="s">
        <v>48</v>
      </c>
      <c r="AL530" s="1" t="s">
        <v>1769</v>
      </c>
    </row>
    <row r="531" spans="1:38">
      <c r="A531" s="1">
        <v>5137996</v>
      </c>
      <c r="B531" s="1" t="s">
        <v>1770</v>
      </c>
      <c r="C531" s="1" t="str">
        <f>"9780273734185"</f>
        <v>9780273734185</v>
      </c>
      <c r="D531" s="1" t="str">
        <f>"9780273734192"</f>
        <v>9780273734192</v>
      </c>
      <c r="E531" s="1" t="s">
        <v>52</v>
      </c>
      <c r="F531" s="1" t="s">
        <v>139</v>
      </c>
      <c r="G531" s="3">
        <v>40469</v>
      </c>
      <c r="H531" s="3">
        <v>1</v>
      </c>
      <c r="I531" s="1" t="s">
        <v>41</v>
      </c>
      <c r="J531" s="1">
        <v>1</v>
      </c>
      <c r="L531" s="1" t="s">
        <v>214</v>
      </c>
      <c r="M531" s="1" t="s">
        <v>1771</v>
      </c>
      <c r="N531" s="1" t="s">
        <v>1772</v>
      </c>
      <c r="O531" s="1">
        <v>158.19999999999999</v>
      </c>
      <c r="P531" s="1" t="s">
        <v>1773</v>
      </c>
      <c r="Q531" s="1" t="s">
        <v>46</v>
      </c>
      <c r="R531" s="1" t="s">
        <v>47</v>
      </c>
      <c r="S531" s="1" t="s">
        <v>47</v>
      </c>
      <c r="T531" s="1" t="s">
        <v>48</v>
      </c>
      <c r="U531" s="1" t="s">
        <v>47</v>
      </c>
      <c r="V531" s="1" t="s">
        <v>47</v>
      </c>
      <c r="W531" s="1" t="s">
        <v>47</v>
      </c>
      <c r="Z531" s="1">
        <v>0</v>
      </c>
      <c r="AB531" s="1" t="s">
        <v>47</v>
      </c>
      <c r="AD531" s="1">
        <v>298360</v>
      </c>
      <c r="AF531" s="1" t="s">
        <v>47</v>
      </c>
      <c r="AG531" s="1" t="s">
        <v>47</v>
      </c>
      <c r="AH531" s="1" t="s">
        <v>49</v>
      </c>
      <c r="AI531" s="1" t="s">
        <v>47</v>
      </c>
      <c r="AK531" s="1" t="s">
        <v>48</v>
      </c>
      <c r="AL531" s="1" t="s">
        <v>1774</v>
      </c>
    </row>
    <row r="532" spans="1:38">
      <c r="A532" s="1">
        <v>5137998</v>
      </c>
      <c r="B532" s="1" t="s">
        <v>1775</v>
      </c>
      <c r="C532" s="1" t="str">
        <f>"9780273783633"</f>
        <v>9780273783633</v>
      </c>
      <c r="D532" s="1" t="str">
        <f>"9780273783664"</f>
        <v>9780273783664</v>
      </c>
      <c r="E532" s="1" t="s">
        <v>52</v>
      </c>
      <c r="F532" s="1" t="s">
        <v>40</v>
      </c>
      <c r="G532" s="3">
        <v>41487</v>
      </c>
      <c r="H532" s="3">
        <v>1</v>
      </c>
      <c r="I532" s="1" t="s">
        <v>41</v>
      </c>
      <c r="J532" s="1">
        <v>2</v>
      </c>
      <c r="L532" s="1" t="s">
        <v>214</v>
      </c>
      <c r="M532" s="1" t="s">
        <v>162</v>
      </c>
      <c r="N532" s="1" t="s">
        <v>1776</v>
      </c>
      <c r="O532" s="1">
        <v>346.42014999999998</v>
      </c>
      <c r="P532" s="1" t="s">
        <v>1777</v>
      </c>
      <c r="Q532" s="1" t="s">
        <v>46</v>
      </c>
      <c r="R532" s="1" t="s">
        <v>47</v>
      </c>
      <c r="S532" s="1" t="s">
        <v>47</v>
      </c>
      <c r="T532" s="1" t="s">
        <v>48</v>
      </c>
      <c r="U532" s="1" t="s">
        <v>47</v>
      </c>
      <c r="V532" s="1" t="s">
        <v>47</v>
      </c>
      <c r="W532" s="1" t="s">
        <v>47</v>
      </c>
      <c r="Z532" s="1">
        <v>0</v>
      </c>
      <c r="AB532" s="1" t="s">
        <v>47</v>
      </c>
      <c r="AD532" s="1">
        <v>492442</v>
      </c>
      <c r="AF532" s="1" t="s">
        <v>47</v>
      </c>
      <c r="AG532" s="1" t="s">
        <v>47</v>
      </c>
      <c r="AH532" s="1" t="s">
        <v>49</v>
      </c>
      <c r="AI532" s="1" t="s">
        <v>47</v>
      </c>
      <c r="AK532" s="1" t="s">
        <v>48</v>
      </c>
      <c r="AL532" s="1" t="s">
        <v>1778</v>
      </c>
    </row>
    <row r="533" spans="1:38">
      <c r="A533" s="1">
        <v>5138006</v>
      </c>
      <c r="B533" s="1" t="s">
        <v>1779</v>
      </c>
      <c r="C533" s="1" t="str">
        <f>"9781292022024"</f>
        <v>9781292022024</v>
      </c>
      <c r="D533" s="1" t="str">
        <f>"9781292035239"</f>
        <v>9781292035239</v>
      </c>
      <c r="E533" s="1" t="s">
        <v>52</v>
      </c>
      <c r="F533" s="1" t="s">
        <v>40</v>
      </c>
      <c r="G533" s="3">
        <v>41469</v>
      </c>
      <c r="H533" s="3">
        <v>1</v>
      </c>
      <c r="I533" s="1" t="s">
        <v>41</v>
      </c>
      <c r="J533" s="1">
        <v>10</v>
      </c>
      <c r="L533" s="1" t="s">
        <v>1780</v>
      </c>
      <c r="M533" s="1" t="s">
        <v>54</v>
      </c>
      <c r="O533" s="1">
        <v>371.9</v>
      </c>
      <c r="Q533" s="1" t="s">
        <v>46</v>
      </c>
      <c r="R533" s="1" t="s">
        <v>47</v>
      </c>
      <c r="S533" s="1" t="s">
        <v>47</v>
      </c>
      <c r="T533" s="1" t="s">
        <v>48</v>
      </c>
      <c r="U533" s="1" t="s">
        <v>47</v>
      </c>
      <c r="V533" s="1" t="s">
        <v>47</v>
      </c>
      <c r="W533" s="1" t="s">
        <v>47</v>
      </c>
      <c r="Z533" s="1">
        <v>0</v>
      </c>
      <c r="AB533" s="1" t="s">
        <v>47</v>
      </c>
      <c r="AD533" s="1">
        <v>527368</v>
      </c>
      <c r="AF533" s="1" t="s">
        <v>47</v>
      </c>
      <c r="AG533" s="1" t="s">
        <v>47</v>
      </c>
      <c r="AH533" s="1" t="s">
        <v>49</v>
      </c>
      <c r="AI533" s="1" t="s">
        <v>47</v>
      </c>
      <c r="AK533" s="1" t="s">
        <v>48</v>
      </c>
      <c r="AL533" s="1" t="s">
        <v>1781</v>
      </c>
    </row>
    <row r="534" spans="1:38">
      <c r="A534" s="1">
        <v>5138007</v>
      </c>
      <c r="B534" s="1" t="s">
        <v>1782</v>
      </c>
      <c r="C534" s="1" t="str">
        <f>"9781292026220"</f>
        <v>9781292026220</v>
      </c>
      <c r="D534" s="1" t="str">
        <f>"9781292038629"</f>
        <v>9781292038629</v>
      </c>
      <c r="E534" s="1" t="s">
        <v>52</v>
      </c>
      <c r="F534" s="1" t="s">
        <v>40</v>
      </c>
      <c r="G534" s="3">
        <v>41455</v>
      </c>
      <c r="H534" s="3">
        <v>1</v>
      </c>
      <c r="I534" s="1" t="s">
        <v>41</v>
      </c>
      <c r="J534" s="1">
        <v>1</v>
      </c>
      <c r="L534" s="1" t="s">
        <v>1783</v>
      </c>
      <c r="M534" s="1" t="s">
        <v>1633</v>
      </c>
      <c r="O534" s="1">
        <v>530</v>
      </c>
      <c r="Q534" s="1" t="s">
        <v>46</v>
      </c>
      <c r="R534" s="1" t="s">
        <v>47</v>
      </c>
      <c r="S534" s="1" t="s">
        <v>47</v>
      </c>
      <c r="T534" s="1" t="s">
        <v>48</v>
      </c>
      <c r="U534" s="1" t="s">
        <v>47</v>
      </c>
      <c r="V534" s="1" t="s">
        <v>47</v>
      </c>
      <c r="W534" s="1" t="s">
        <v>47</v>
      </c>
      <c r="Z534" s="1">
        <v>0</v>
      </c>
      <c r="AB534" s="1" t="s">
        <v>47</v>
      </c>
      <c r="AD534" s="1">
        <v>527330</v>
      </c>
      <c r="AF534" s="1" t="s">
        <v>47</v>
      </c>
      <c r="AG534" s="1" t="s">
        <v>47</v>
      </c>
      <c r="AH534" s="1" t="s">
        <v>49</v>
      </c>
      <c r="AI534" s="1" t="s">
        <v>47</v>
      </c>
      <c r="AK534" s="1" t="s">
        <v>48</v>
      </c>
      <c r="AL534" s="1" t="s">
        <v>1784</v>
      </c>
    </row>
    <row r="535" spans="1:38">
      <c r="A535" s="1">
        <v>5138009</v>
      </c>
      <c r="B535" s="1" t="s">
        <v>1785</v>
      </c>
      <c r="C535" s="1" t="str">
        <f>"9781292023083"</f>
        <v>9781292023083</v>
      </c>
      <c r="D535" s="1" t="str">
        <f>"9781292036267"</f>
        <v>9781292036267</v>
      </c>
      <c r="E535" s="1" t="s">
        <v>52</v>
      </c>
      <c r="F535" s="1" t="s">
        <v>40</v>
      </c>
      <c r="G535" s="3">
        <v>41472</v>
      </c>
      <c r="H535" s="3">
        <v>1</v>
      </c>
      <c r="I535" s="1" t="s">
        <v>41</v>
      </c>
      <c r="J535" s="1">
        <v>2</v>
      </c>
      <c r="L535" s="1" t="s">
        <v>1786</v>
      </c>
      <c r="M535" s="1" t="s">
        <v>1787</v>
      </c>
      <c r="O535" s="1">
        <v>500</v>
      </c>
      <c r="Q535" s="1" t="s">
        <v>46</v>
      </c>
      <c r="R535" s="1" t="s">
        <v>47</v>
      </c>
      <c r="S535" s="1" t="s">
        <v>47</v>
      </c>
      <c r="T535" s="1" t="s">
        <v>48</v>
      </c>
      <c r="U535" s="1" t="s">
        <v>47</v>
      </c>
      <c r="V535" s="1" t="s">
        <v>47</v>
      </c>
      <c r="W535" s="1" t="s">
        <v>47</v>
      </c>
      <c r="Z535" s="1">
        <v>0</v>
      </c>
      <c r="AB535" s="1" t="s">
        <v>47</v>
      </c>
      <c r="AF535" s="1" t="s">
        <v>47</v>
      </c>
      <c r="AG535" s="1" t="s">
        <v>47</v>
      </c>
      <c r="AH535" s="1" t="s">
        <v>49</v>
      </c>
      <c r="AI535" s="1" t="s">
        <v>47</v>
      </c>
      <c r="AK535" s="1" t="s">
        <v>48</v>
      </c>
      <c r="AL535" s="1" t="s">
        <v>1788</v>
      </c>
    </row>
    <row r="536" spans="1:38">
      <c r="A536" s="1">
        <v>5138010</v>
      </c>
      <c r="B536" s="1" t="s">
        <v>1789</v>
      </c>
      <c r="C536" s="1" t="str">
        <f>"9781292026794"</f>
        <v>9781292026794</v>
      </c>
      <c r="D536" s="1" t="str">
        <f>"9781292053608"</f>
        <v>9781292053608</v>
      </c>
      <c r="E536" s="1" t="s">
        <v>52</v>
      </c>
      <c r="F536" s="1" t="s">
        <v>40</v>
      </c>
      <c r="G536" s="3">
        <v>41579</v>
      </c>
      <c r="H536" s="3">
        <v>1</v>
      </c>
      <c r="I536" s="1" t="s">
        <v>41</v>
      </c>
      <c r="J536" s="1">
        <v>13</v>
      </c>
      <c r="L536" s="1" t="s">
        <v>1790</v>
      </c>
      <c r="M536" s="1" t="s">
        <v>922</v>
      </c>
      <c r="O536" s="1">
        <v>330</v>
      </c>
      <c r="Q536" s="1" t="s">
        <v>46</v>
      </c>
      <c r="R536" s="1" t="s">
        <v>47</v>
      </c>
      <c r="S536" s="1" t="s">
        <v>47</v>
      </c>
      <c r="T536" s="1" t="s">
        <v>48</v>
      </c>
      <c r="U536" s="1" t="s">
        <v>47</v>
      </c>
      <c r="V536" s="1" t="s">
        <v>47</v>
      </c>
      <c r="W536" s="1" t="s">
        <v>47</v>
      </c>
      <c r="Z536" s="1">
        <v>0</v>
      </c>
      <c r="AB536" s="1" t="s">
        <v>47</v>
      </c>
      <c r="AD536" s="1">
        <v>543469</v>
      </c>
      <c r="AF536" s="1" t="s">
        <v>47</v>
      </c>
      <c r="AG536" s="1" t="s">
        <v>47</v>
      </c>
      <c r="AH536" s="1" t="s">
        <v>49</v>
      </c>
      <c r="AI536" s="1" t="s">
        <v>47</v>
      </c>
      <c r="AK536" s="1" t="s">
        <v>48</v>
      </c>
      <c r="AL536" s="1" t="s">
        <v>1791</v>
      </c>
    </row>
    <row r="537" spans="1:38">
      <c r="A537" s="1">
        <v>5138011</v>
      </c>
      <c r="B537" s="1" t="s">
        <v>1792</v>
      </c>
      <c r="C537" s="1" t="str">
        <f>"9780273722595"</f>
        <v>9780273722595</v>
      </c>
      <c r="D537" s="1" t="str">
        <f>"9780273722632"</f>
        <v>9780273722632</v>
      </c>
      <c r="E537" s="1" t="s">
        <v>52</v>
      </c>
      <c r="F537" s="1" t="s">
        <v>157</v>
      </c>
      <c r="G537" s="3">
        <v>40717</v>
      </c>
      <c r="H537" s="3">
        <v>1</v>
      </c>
      <c r="I537" s="1" t="s">
        <v>41</v>
      </c>
      <c r="J537" s="1">
        <v>4</v>
      </c>
      <c r="L537" s="1" t="s">
        <v>1793</v>
      </c>
      <c r="M537" s="1" t="s">
        <v>1794</v>
      </c>
      <c r="N537" s="1" t="s">
        <v>1795</v>
      </c>
      <c r="O537" s="1">
        <v>910.28499999999997</v>
      </c>
      <c r="P537" s="1" t="s">
        <v>1796</v>
      </c>
      <c r="Q537" s="1" t="s">
        <v>46</v>
      </c>
      <c r="R537" s="1" t="s">
        <v>47</v>
      </c>
      <c r="S537" s="1" t="s">
        <v>47</v>
      </c>
      <c r="T537" s="1" t="s">
        <v>48</v>
      </c>
      <c r="U537" s="1" t="s">
        <v>47</v>
      </c>
      <c r="V537" s="1" t="s">
        <v>47</v>
      </c>
      <c r="W537" s="1" t="s">
        <v>47</v>
      </c>
      <c r="Z537" s="1">
        <v>0</v>
      </c>
      <c r="AB537" s="1" t="s">
        <v>47</v>
      </c>
      <c r="AD537" s="1">
        <v>327527</v>
      </c>
      <c r="AF537" s="1" t="s">
        <v>47</v>
      </c>
      <c r="AG537" s="1" t="s">
        <v>47</v>
      </c>
      <c r="AH537" s="1" t="s">
        <v>49</v>
      </c>
      <c r="AI537" s="1" t="s">
        <v>47</v>
      </c>
      <c r="AK537" s="1" t="s">
        <v>48</v>
      </c>
      <c r="AL537" s="1" t="s">
        <v>1797</v>
      </c>
    </row>
    <row r="538" spans="1:38">
      <c r="A538" s="1">
        <v>5138016</v>
      </c>
      <c r="B538" s="1" t="s">
        <v>1635</v>
      </c>
      <c r="C538" s="1" t="str">
        <f>"9781292039589"</f>
        <v>9781292039589</v>
      </c>
      <c r="D538" s="1" t="str">
        <f>"9781292053615"</f>
        <v>9781292053615</v>
      </c>
      <c r="E538" s="1" t="s">
        <v>52</v>
      </c>
      <c r="F538" s="1" t="s">
        <v>40</v>
      </c>
      <c r="G538" s="3">
        <v>41579</v>
      </c>
      <c r="H538" s="3">
        <v>1</v>
      </c>
      <c r="I538" s="1" t="s">
        <v>41</v>
      </c>
      <c r="J538" s="1">
        <v>5</v>
      </c>
      <c r="L538" s="1" t="s">
        <v>1798</v>
      </c>
      <c r="M538" s="1" t="s">
        <v>1639</v>
      </c>
      <c r="O538" s="1">
        <v>530</v>
      </c>
      <c r="Q538" s="1" t="s">
        <v>46</v>
      </c>
      <c r="R538" s="1" t="s">
        <v>47</v>
      </c>
      <c r="S538" s="1" t="s">
        <v>47</v>
      </c>
      <c r="T538" s="1" t="s">
        <v>48</v>
      </c>
      <c r="U538" s="1" t="s">
        <v>47</v>
      </c>
      <c r="V538" s="1" t="s">
        <v>47</v>
      </c>
      <c r="W538" s="1" t="s">
        <v>47</v>
      </c>
      <c r="Z538" s="1">
        <v>0</v>
      </c>
      <c r="AB538" s="1" t="s">
        <v>47</v>
      </c>
      <c r="AD538" s="1">
        <v>543605</v>
      </c>
      <c r="AF538" s="1" t="s">
        <v>47</v>
      </c>
      <c r="AG538" s="1" t="s">
        <v>47</v>
      </c>
      <c r="AH538" s="1" t="s">
        <v>49</v>
      </c>
      <c r="AI538" s="1" t="s">
        <v>47</v>
      </c>
      <c r="AK538" s="1" t="s">
        <v>48</v>
      </c>
      <c r="AL538" s="1" t="s">
        <v>1799</v>
      </c>
    </row>
    <row r="539" spans="1:38">
      <c r="A539" s="1">
        <v>5138023</v>
      </c>
      <c r="B539" s="1" t="s">
        <v>1800</v>
      </c>
      <c r="C539" s="1" t="str">
        <f>"9781408294482"</f>
        <v>9781408294482</v>
      </c>
      <c r="D539" s="1" t="str">
        <f>"9781408294505"</f>
        <v>9781408294505</v>
      </c>
      <c r="E539" s="1" t="s">
        <v>52</v>
      </c>
      <c r="F539" s="1" t="s">
        <v>40</v>
      </c>
      <c r="G539" s="3">
        <v>41183</v>
      </c>
      <c r="H539" s="3">
        <v>1</v>
      </c>
      <c r="I539" s="1" t="s">
        <v>41</v>
      </c>
      <c r="J539" s="1">
        <v>4</v>
      </c>
      <c r="L539" s="1" t="s">
        <v>1801</v>
      </c>
      <c r="M539" s="1" t="s">
        <v>162</v>
      </c>
      <c r="N539" s="1" t="s">
        <v>1802</v>
      </c>
      <c r="O539" s="1">
        <v>342.41084999999998</v>
      </c>
      <c r="P539" s="1" t="s">
        <v>1803</v>
      </c>
      <c r="Q539" s="1" t="s">
        <v>46</v>
      </c>
      <c r="R539" s="1" t="s">
        <v>47</v>
      </c>
      <c r="S539" s="1" t="s">
        <v>47</v>
      </c>
      <c r="T539" s="1" t="s">
        <v>48</v>
      </c>
      <c r="U539" s="1" t="s">
        <v>47</v>
      </c>
      <c r="V539" s="1" t="s">
        <v>47</v>
      </c>
      <c r="W539" s="1" t="s">
        <v>47</v>
      </c>
      <c r="Z539" s="1">
        <v>0</v>
      </c>
      <c r="AB539" s="1" t="s">
        <v>47</v>
      </c>
      <c r="AD539" s="1">
        <v>459592</v>
      </c>
      <c r="AF539" s="1" t="s">
        <v>47</v>
      </c>
      <c r="AG539" s="1" t="s">
        <v>47</v>
      </c>
      <c r="AH539" s="1" t="s">
        <v>49</v>
      </c>
      <c r="AI539" s="1" t="s">
        <v>47</v>
      </c>
      <c r="AK539" s="1" t="s">
        <v>48</v>
      </c>
      <c r="AL539" s="1" t="s">
        <v>1804</v>
      </c>
    </row>
    <row r="540" spans="1:38">
      <c r="A540" s="1">
        <v>5138024</v>
      </c>
      <c r="B540" s="1" t="s">
        <v>1805</v>
      </c>
      <c r="C540" s="1" t="str">
        <f>"9781292024998"</f>
        <v>9781292024998</v>
      </c>
      <c r="D540" s="1" t="str">
        <f>"9781292037622"</f>
        <v>9781292037622</v>
      </c>
      <c r="E540" s="1" t="s">
        <v>52</v>
      </c>
      <c r="F540" s="1" t="s">
        <v>40</v>
      </c>
      <c r="G540" s="3">
        <v>41481</v>
      </c>
      <c r="H540" s="3">
        <v>1</v>
      </c>
      <c r="I540" s="1" t="s">
        <v>41</v>
      </c>
      <c r="J540" s="1">
        <v>7</v>
      </c>
      <c r="L540" s="1" t="s">
        <v>1806</v>
      </c>
      <c r="M540" s="1" t="s">
        <v>242</v>
      </c>
      <c r="O540" s="1">
        <v>519.5</v>
      </c>
      <c r="Q540" s="1" t="s">
        <v>46</v>
      </c>
      <c r="R540" s="1" t="s">
        <v>47</v>
      </c>
      <c r="S540" s="1" t="s">
        <v>47</v>
      </c>
      <c r="T540" s="1" t="s">
        <v>48</v>
      </c>
      <c r="U540" s="1" t="s">
        <v>47</v>
      </c>
      <c r="V540" s="1" t="s">
        <v>47</v>
      </c>
      <c r="W540" s="1" t="s">
        <v>47</v>
      </c>
      <c r="Z540" s="1">
        <v>0</v>
      </c>
      <c r="AB540" s="1" t="s">
        <v>47</v>
      </c>
      <c r="AD540" s="1">
        <v>527150</v>
      </c>
      <c r="AF540" s="1" t="s">
        <v>47</v>
      </c>
      <c r="AG540" s="1" t="s">
        <v>47</v>
      </c>
      <c r="AH540" s="1" t="s">
        <v>49</v>
      </c>
      <c r="AI540" s="1" t="s">
        <v>47</v>
      </c>
      <c r="AK540" s="1" t="s">
        <v>48</v>
      </c>
      <c r="AL540" s="1" t="s">
        <v>1807</v>
      </c>
    </row>
    <row r="541" spans="1:38">
      <c r="A541" s="1">
        <v>5138034</v>
      </c>
      <c r="B541" s="1" t="s">
        <v>1808</v>
      </c>
      <c r="C541" s="1" t="str">
        <f>"9781292026954"</f>
        <v>9781292026954</v>
      </c>
      <c r="D541" s="1" t="str">
        <f>"9781292053639"</f>
        <v>9781292053639</v>
      </c>
      <c r="E541" s="1" t="s">
        <v>52</v>
      </c>
      <c r="F541" s="1" t="s">
        <v>40</v>
      </c>
      <c r="G541" s="3">
        <v>41579</v>
      </c>
      <c r="H541" s="3">
        <v>1</v>
      </c>
      <c r="I541" s="1" t="s">
        <v>41</v>
      </c>
      <c r="J541" s="1">
        <v>4</v>
      </c>
      <c r="L541" s="1" t="s">
        <v>1809</v>
      </c>
      <c r="M541" s="1" t="s">
        <v>1107</v>
      </c>
      <c r="O541" s="1">
        <v>808.06659999999999</v>
      </c>
      <c r="Q541" s="1" t="s">
        <v>46</v>
      </c>
      <c r="R541" s="1" t="s">
        <v>47</v>
      </c>
      <c r="S541" s="1" t="s">
        <v>47</v>
      </c>
      <c r="T541" s="1" t="s">
        <v>48</v>
      </c>
      <c r="U541" s="1" t="s">
        <v>47</v>
      </c>
      <c r="V541" s="1" t="s">
        <v>47</v>
      </c>
      <c r="W541" s="1" t="s">
        <v>47</v>
      </c>
      <c r="Z541" s="1">
        <v>0</v>
      </c>
      <c r="AB541" s="1" t="s">
        <v>47</v>
      </c>
      <c r="AD541" s="1">
        <v>543538</v>
      </c>
      <c r="AF541" s="1" t="s">
        <v>47</v>
      </c>
      <c r="AG541" s="1" t="s">
        <v>47</v>
      </c>
      <c r="AH541" s="1" t="s">
        <v>49</v>
      </c>
      <c r="AI541" s="1" t="s">
        <v>47</v>
      </c>
      <c r="AK541" s="1" t="s">
        <v>48</v>
      </c>
      <c r="AL541" s="1" t="s">
        <v>1810</v>
      </c>
    </row>
    <row r="542" spans="1:38">
      <c r="A542" s="1">
        <v>5138037</v>
      </c>
      <c r="B542" s="1" t="s">
        <v>1811</v>
      </c>
      <c r="C542" s="1" t="str">
        <f>"9780273711414"</f>
        <v>9780273711414</v>
      </c>
      <c r="D542" s="1" t="str">
        <f>"9780273732723"</f>
        <v>9780273732723</v>
      </c>
      <c r="E542" s="1" t="s">
        <v>52</v>
      </c>
      <c r="F542" s="1" t="s">
        <v>67</v>
      </c>
      <c r="G542" s="3">
        <v>39569</v>
      </c>
      <c r="H542" s="3">
        <v>1</v>
      </c>
      <c r="I542" s="1" t="s">
        <v>41</v>
      </c>
      <c r="J542" s="1">
        <v>10</v>
      </c>
      <c r="L542" s="1" t="s">
        <v>1812</v>
      </c>
      <c r="M542" s="1" t="s">
        <v>59</v>
      </c>
      <c r="N542" s="1" t="s">
        <v>1813</v>
      </c>
      <c r="O542" s="1">
        <v>657.3</v>
      </c>
      <c r="P542" s="1" t="s">
        <v>1814</v>
      </c>
      <c r="Q542" s="1" t="s">
        <v>46</v>
      </c>
      <c r="R542" s="1" t="s">
        <v>47</v>
      </c>
      <c r="S542" s="1" t="s">
        <v>47</v>
      </c>
      <c r="T542" s="1" t="s">
        <v>48</v>
      </c>
      <c r="U542" s="1" t="s">
        <v>47</v>
      </c>
      <c r="V542" s="1" t="s">
        <v>47</v>
      </c>
      <c r="W542" s="1" t="s">
        <v>47</v>
      </c>
      <c r="Z542" s="1">
        <v>0</v>
      </c>
      <c r="AB542" s="1" t="s">
        <v>47</v>
      </c>
      <c r="AD542" s="1">
        <v>317324</v>
      </c>
      <c r="AF542" s="1" t="s">
        <v>47</v>
      </c>
      <c r="AG542" s="1" t="s">
        <v>47</v>
      </c>
      <c r="AH542" s="1" t="s">
        <v>49</v>
      </c>
      <c r="AI542" s="1" t="s">
        <v>47</v>
      </c>
      <c r="AK542" s="1" t="s">
        <v>48</v>
      </c>
      <c r="AL542" s="1" t="s">
        <v>1815</v>
      </c>
    </row>
    <row r="543" spans="1:38">
      <c r="A543" s="1">
        <v>5138041</v>
      </c>
      <c r="B543" s="1" t="s">
        <v>1816</v>
      </c>
      <c r="C543" s="1" t="str">
        <f>"9781292027173"</f>
        <v>9781292027173</v>
      </c>
      <c r="D543" s="1" t="str">
        <f>"9781292053646"</f>
        <v>9781292053646</v>
      </c>
      <c r="E543" s="1" t="s">
        <v>52</v>
      </c>
      <c r="F543" s="1" t="s">
        <v>40</v>
      </c>
      <c r="G543" s="3">
        <v>41507</v>
      </c>
      <c r="H543" s="3">
        <v>1</v>
      </c>
      <c r="I543" s="1" t="s">
        <v>41</v>
      </c>
      <c r="J543" s="1">
        <v>9</v>
      </c>
      <c r="L543" s="1" t="s">
        <v>1817</v>
      </c>
      <c r="M543" s="1" t="s">
        <v>372</v>
      </c>
      <c r="O543" s="1">
        <v>305.26</v>
      </c>
      <c r="Q543" s="1" t="s">
        <v>46</v>
      </c>
      <c r="R543" s="1" t="s">
        <v>47</v>
      </c>
      <c r="S543" s="1" t="s">
        <v>47</v>
      </c>
      <c r="T543" s="1" t="s">
        <v>48</v>
      </c>
      <c r="U543" s="1" t="s">
        <v>47</v>
      </c>
      <c r="V543" s="1" t="s">
        <v>47</v>
      </c>
      <c r="W543" s="1" t="s">
        <v>47</v>
      </c>
      <c r="Z543" s="1">
        <v>0</v>
      </c>
      <c r="AB543" s="1" t="s">
        <v>47</v>
      </c>
      <c r="AD543" s="1">
        <v>543629</v>
      </c>
      <c r="AF543" s="1" t="s">
        <v>47</v>
      </c>
      <c r="AG543" s="1" t="s">
        <v>47</v>
      </c>
      <c r="AH543" s="1" t="s">
        <v>49</v>
      </c>
      <c r="AI543" s="1" t="s">
        <v>47</v>
      </c>
      <c r="AK543" s="1" t="s">
        <v>48</v>
      </c>
      <c r="AL543" s="1" t="s">
        <v>1818</v>
      </c>
    </row>
    <row r="544" spans="1:38">
      <c r="A544" s="1">
        <v>5138043</v>
      </c>
      <c r="B544" s="1" t="s">
        <v>1819</v>
      </c>
      <c r="C544" s="1" t="str">
        <f>"9781292040578"</f>
        <v>9781292040578</v>
      </c>
      <c r="D544" s="1" t="str">
        <f>"9781292056395"</f>
        <v>9781292056395</v>
      </c>
      <c r="E544" s="1" t="s">
        <v>52</v>
      </c>
      <c r="F544" s="1" t="s">
        <v>40</v>
      </c>
      <c r="G544" s="3">
        <v>41579</v>
      </c>
      <c r="H544" s="3">
        <v>1</v>
      </c>
      <c r="I544" s="1" t="s">
        <v>41</v>
      </c>
      <c r="J544" s="1">
        <v>11</v>
      </c>
      <c r="L544" s="1" t="s">
        <v>1820</v>
      </c>
      <c r="M544" s="1" t="s">
        <v>59</v>
      </c>
      <c r="O544" s="1">
        <v>657</v>
      </c>
      <c r="Q544" s="1" t="s">
        <v>46</v>
      </c>
      <c r="R544" s="1" t="s">
        <v>47</v>
      </c>
      <c r="S544" s="1" t="s">
        <v>47</v>
      </c>
      <c r="T544" s="1" t="s">
        <v>48</v>
      </c>
      <c r="U544" s="1" t="s">
        <v>47</v>
      </c>
      <c r="V544" s="1" t="s">
        <v>47</v>
      </c>
      <c r="W544" s="1" t="s">
        <v>47</v>
      </c>
      <c r="Z544" s="1">
        <v>0</v>
      </c>
      <c r="AB544" s="1" t="s">
        <v>47</v>
      </c>
      <c r="AD544" s="1">
        <v>543400</v>
      </c>
      <c r="AF544" s="1" t="s">
        <v>47</v>
      </c>
      <c r="AG544" s="1" t="s">
        <v>47</v>
      </c>
      <c r="AH544" s="1" t="s">
        <v>49</v>
      </c>
      <c r="AI544" s="1" t="s">
        <v>47</v>
      </c>
      <c r="AK544" s="1" t="s">
        <v>48</v>
      </c>
      <c r="AL544" s="1" t="s">
        <v>1821</v>
      </c>
    </row>
    <row r="545" spans="1:38">
      <c r="A545" s="1">
        <v>5138046</v>
      </c>
      <c r="B545" s="1" t="s">
        <v>1822</v>
      </c>
      <c r="C545" s="1" t="str">
        <f>"9781292040806"</f>
        <v>9781292040806</v>
      </c>
      <c r="D545" s="1" t="str">
        <f>"9781292053653"</f>
        <v>9781292053653</v>
      </c>
      <c r="E545" s="1" t="s">
        <v>52</v>
      </c>
      <c r="F545" s="1" t="s">
        <v>40</v>
      </c>
      <c r="G545" s="3">
        <v>41579</v>
      </c>
      <c r="H545" s="3">
        <v>1</v>
      </c>
      <c r="I545" s="1" t="s">
        <v>41</v>
      </c>
      <c r="J545" s="1">
        <v>5</v>
      </c>
      <c r="L545" s="1" t="s">
        <v>1823</v>
      </c>
      <c r="M545" s="1" t="s">
        <v>242</v>
      </c>
      <c r="O545" s="1">
        <v>512.1</v>
      </c>
      <c r="Q545" s="1" t="s">
        <v>46</v>
      </c>
      <c r="R545" s="1" t="s">
        <v>47</v>
      </c>
      <c r="S545" s="1" t="s">
        <v>47</v>
      </c>
      <c r="T545" s="1" t="s">
        <v>48</v>
      </c>
      <c r="U545" s="1" t="s">
        <v>47</v>
      </c>
      <c r="V545" s="1" t="s">
        <v>47</v>
      </c>
      <c r="W545" s="1" t="s">
        <v>47</v>
      </c>
      <c r="Z545" s="1">
        <v>0</v>
      </c>
      <c r="AB545" s="1" t="s">
        <v>47</v>
      </c>
      <c r="AD545" s="1">
        <v>543546</v>
      </c>
      <c r="AF545" s="1" t="s">
        <v>47</v>
      </c>
      <c r="AG545" s="1" t="s">
        <v>47</v>
      </c>
      <c r="AH545" s="1" t="s">
        <v>49</v>
      </c>
      <c r="AI545" s="1" t="s">
        <v>47</v>
      </c>
      <c r="AK545" s="1" t="s">
        <v>48</v>
      </c>
      <c r="AL545" s="1" t="s">
        <v>1824</v>
      </c>
    </row>
    <row r="546" spans="1:38">
      <c r="A546" s="1">
        <v>5138047</v>
      </c>
      <c r="B546" s="1" t="s">
        <v>1825</v>
      </c>
      <c r="C546" s="1" t="str">
        <f>"9780273715450"</f>
        <v>9780273715450</v>
      </c>
      <c r="D546" s="1" t="str">
        <f>"9780273733003"</f>
        <v>9780273733003</v>
      </c>
      <c r="E546" s="1" t="s">
        <v>52</v>
      </c>
      <c r="F546" s="1" t="s">
        <v>157</v>
      </c>
      <c r="G546" s="3">
        <v>40162</v>
      </c>
      <c r="H546" s="3">
        <v>1</v>
      </c>
      <c r="I546" s="1" t="s">
        <v>41</v>
      </c>
      <c r="J546" s="1">
        <v>4</v>
      </c>
      <c r="L546" s="1" t="s">
        <v>1826</v>
      </c>
      <c r="M546" s="1" t="s">
        <v>422</v>
      </c>
      <c r="O546" s="1">
        <v>540</v>
      </c>
      <c r="P546" s="1" t="s">
        <v>1825</v>
      </c>
      <c r="Q546" s="1" t="s">
        <v>46</v>
      </c>
      <c r="R546" s="1" t="s">
        <v>47</v>
      </c>
      <c r="S546" s="1" t="s">
        <v>47</v>
      </c>
      <c r="T546" s="1" t="s">
        <v>48</v>
      </c>
      <c r="U546" s="1" t="s">
        <v>47</v>
      </c>
      <c r="V546" s="1" t="s">
        <v>47</v>
      </c>
      <c r="W546" s="1" t="s">
        <v>47</v>
      </c>
      <c r="Z546" s="1">
        <v>0</v>
      </c>
      <c r="AB546" s="1" t="s">
        <v>47</v>
      </c>
      <c r="AD546" s="1">
        <v>255769</v>
      </c>
      <c r="AF546" s="1" t="s">
        <v>47</v>
      </c>
      <c r="AG546" s="1" t="s">
        <v>47</v>
      </c>
      <c r="AH546" s="1" t="s">
        <v>49</v>
      </c>
      <c r="AI546" s="1" t="s">
        <v>47</v>
      </c>
      <c r="AK546" s="1" t="s">
        <v>48</v>
      </c>
      <c r="AL546" s="1" t="s">
        <v>1827</v>
      </c>
    </row>
    <row r="547" spans="1:38">
      <c r="A547" s="1">
        <v>5138058</v>
      </c>
      <c r="B547" s="1" t="s">
        <v>1828</v>
      </c>
      <c r="C547" s="1" t="str">
        <f>"9781292041391"</f>
        <v>9781292041391</v>
      </c>
      <c r="D547" s="1" t="str">
        <f>"9781292053660"</f>
        <v>9781292053660</v>
      </c>
      <c r="E547" s="1" t="s">
        <v>52</v>
      </c>
      <c r="F547" s="1" t="s">
        <v>40</v>
      </c>
      <c r="G547" s="3">
        <v>41579</v>
      </c>
      <c r="H547" s="3">
        <v>1</v>
      </c>
      <c r="I547" s="1" t="s">
        <v>41</v>
      </c>
      <c r="J547" s="1">
        <v>4</v>
      </c>
      <c r="L547" s="1" t="s">
        <v>1829</v>
      </c>
      <c r="M547" s="1" t="s">
        <v>54</v>
      </c>
      <c r="O547" s="1">
        <v>371.33</v>
      </c>
      <c r="Q547" s="1" t="s">
        <v>46</v>
      </c>
      <c r="R547" s="1" t="s">
        <v>47</v>
      </c>
      <c r="S547" s="1" t="s">
        <v>47</v>
      </c>
      <c r="T547" s="1" t="s">
        <v>48</v>
      </c>
      <c r="U547" s="1" t="s">
        <v>47</v>
      </c>
      <c r="V547" s="1" t="s">
        <v>47</v>
      </c>
      <c r="W547" s="1" t="s">
        <v>47</v>
      </c>
      <c r="Z547" s="1">
        <v>0</v>
      </c>
      <c r="AB547" s="1" t="s">
        <v>47</v>
      </c>
      <c r="AD547" s="1">
        <v>543589</v>
      </c>
      <c r="AF547" s="1" t="s">
        <v>47</v>
      </c>
      <c r="AG547" s="1" t="s">
        <v>47</v>
      </c>
      <c r="AH547" s="1" t="s">
        <v>49</v>
      </c>
      <c r="AI547" s="1" t="s">
        <v>47</v>
      </c>
      <c r="AK547" s="1" t="s">
        <v>48</v>
      </c>
      <c r="AL547" s="1" t="s">
        <v>1830</v>
      </c>
    </row>
    <row r="548" spans="1:38">
      <c r="A548" s="1">
        <v>5138078</v>
      </c>
      <c r="B548" s="1" t="s">
        <v>1831</v>
      </c>
      <c r="C548" s="1" t="str">
        <f>"9781292024950"</f>
        <v>9781292024950</v>
      </c>
      <c r="D548" s="1" t="str">
        <f>"9781292037585"</f>
        <v>9781292037585</v>
      </c>
      <c r="E548" s="1" t="s">
        <v>52</v>
      </c>
      <c r="F548" s="1" t="s">
        <v>40</v>
      </c>
      <c r="G548" s="3">
        <v>41515</v>
      </c>
      <c r="H548" s="3">
        <v>1</v>
      </c>
      <c r="I548" s="1" t="s">
        <v>41</v>
      </c>
      <c r="J548" s="1">
        <v>2</v>
      </c>
      <c r="L548" s="1" t="s">
        <v>1832</v>
      </c>
      <c r="Q548" s="1" t="s">
        <v>46</v>
      </c>
      <c r="R548" s="1" t="s">
        <v>47</v>
      </c>
      <c r="S548" s="1" t="s">
        <v>47</v>
      </c>
      <c r="T548" s="1" t="s">
        <v>48</v>
      </c>
      <c r="U548" s="1" t="s">
        <v>47</v>
      </c>
      <c r="V548" s="1" t="s">
        <v>47</v>
      </c>
      <c r="W548" s="1" t="s">
        <v>47</v>
      </c>
      <c r="Z548" s="1">
        <v>0</v>
      </c>
      <c r="AB548" s="1" t="s">
        <v>47</v>
      </c>
      <c r="AD548" s="1">
        <v>527263</v>
      </c>
      <c r="AF548" s="1" t="s">
        <v>47</v>
      </c>
      <c r="AG548" s="1" t="s">
        <v>47</v>
      </c>
      <c r="AH548" s="1" t="s">
        <v>49</v>
      </c>
      <c r="AI548" s="1" t="s">
        <v>47</v>
      </c>
      <c r="AK548" s="1" t="s">
        <v>48</v>
      </c>
      <c r="AL548" s="1" t="s">
        <v>1833</v>
      </c>
    </row>
    <row r="549" spans="1:38">
      <c r="A549" s="1">
        <v>5138081</v>
      </c>
      <c r="B549" s="1" t="s">
        <v>1834</v>
      </c>
      <c r="C549" s="1" t="str">
        <f>"9781292026404"</f>
        <v>9781292026404</v>
      </c>
      <c r="D549" s="1" t="str">
        <f>"9781292038797"</f>
        <v>9781292038797</v>
      </c>
      <c r="E549" s="1" t="s">
        <v>52</v>
      </c>
      <c r="F549" s="1" t="s">
        <v>40</v>
      </c>
      <c r="G549" s="3">
        <v>41491</v>
      </c>
      <c r="H549" s="3">
        <v>1</v>
      </c>
      <c r="I549" s="1" t="s">
        <v>41</v>
      </c>
      <c r="J549" s="1">
        <v>2</v>
      </c>
      <c r="L549" s="1" t="s">
        <v>1835</v>
      </c>
      <c r="Q549" s="1" t="s">
        <v>46</v>
      </c>
      <c r="R549" s="1" t="s">
        <v>47</v>
      </c>
      <c r="S549" s="1" t="s">
        <v>47</v>
      </c>
      <c r="T549" s="1" t="s">
        <v>48</v>
      </c>
      <c r="U549" s="1" t="s">
        <v>47</v>
      </c>
      <c r="V549" s="1" t="s">
        <v>47</v>
      </c>
      <c r="W549" s="1" t="s">
        <v>47</v>
      </c>
      <c r="Z549" s="1">
        <v>0</v>
      </c>
      <c r="AB549" s="1" t="s">
        <v>47</v>
      </c>
      <c r="AD549" s="1">
        <v>527075</v>
      </c>
      <c r="AF549" s="1" t="s">
        <v>47</v>
      </c>
      <c r="AG549" s="1" t="s">
        <v>47</v>
      </c>
      <c r="AH549" s="1" t="s">
        <v>49</v>
      </c>
      <c r="AI549" s="1" t="s">
        <v>47</v>
      </c>
      <c r="AK549" s="1" t="s">
        <v>48</v>
      </c>
      <c r="AL549" s="1" t="s">
        <v>1836</v>
      </c>
    </row>
    <row r="550" spans="1:38">
      <c r="A550" s="1">
        <v>5138087</v>
      </c>
      <c r="B550" s="1" t="s">
        <v>1837</v>
      </c>
      <c r="C550" s="1" t="str">
        <f>"9781292020891"</f>
        <v>9781292020891</v>
      </c>
      <c r="D550" s="1" t="str">
        <f>"9781292034140"</f>
        <v>9781292034140</v>
      </c>
      <c r="E550" s="1" t="s">
        <v>52</v>
      </c>
      <c r="F550" s="1" t="s">
        <v>40</v>
      </c>
      <c r="G550" s="3">
        <v>41488</v>
      </c>
      <c r="H550" s="3">
        <v>1</v>
      </c>
      <c r="I550" s="1" t="s">
        <v>41</v>
      </c>
      <c r="J550" s="1">
        <v>7</v>
      </c>
      <c r="L550" s="1" t="s">
        <v>1838</v>
      </c>
      <c r="M550" s="1" t="s">
        <v>482</v>
      </c>
      <c r="O550" s="1">
        <v>617.10260000000005</v>
      </c>
      <c r="Q550" s="1" t="s">
        <v>46</v>
      </c>
      <c r="R550" s="1" t="s">
        <v>47</v>
      </c>
      <c r="S550" s="1" t="s">
        <v>47</v>
      </c>
      <c r="T550" s="1" t="s">
        <v>48</v>
      </c>
      <c r="U550" s="1" t="s">
        <v>47</v>
      </c>
      <c r="V550" s="1" t="s">
        <v>47</v>
      </c>
      <c r="W550" s="1" t="s">
        <v>47</v>
      </c>
      <c r="Z550" s="1">
        <v>0</v>
      </c>
      <c r="AB550" s="1" t="s">
        <v>47</v>
      </c>
      <c r="AD550" s="1">
        <v>526983</v>
      </c>
      <c r="AF550" s="1" t="s">
        <v>47</v>
      </c>
      <c r="AG550" s="1" t="s">
        <v>47</v>
      </c>
      <c r="AH550" s="1" t="s">
        <v>49</v>
      </c>
      <c r="AI550" s="1" t="s">
        <v>47</v>
      </c>
      <c r="AK550" s="1" t="s">
        <v>48</v>
      </c>
      <c r="AL550" s="1" t="s">
        <v>1839</v>
      </c>
    </row>
    <row r="551" spans="1:38">
      <c r="A551" s="1">
        <v>5138092</v>
      </c>
      <c r="B551" s="1" t="s">
        <v>1840</v>
      </c>
      <c r="C551" s="1" t="str">
        <f>"9781292022550"</f>
        <v>9781292022550</v>
      </c>
      <c r="D551" s="1" t="str">
        <f>"9781292035758"</f>
        <v>9781292035758</v>
      </c>
      <c r="E551" s="1" t="s">
        <v>52</v>
      </c>
      <c r="F551" s="1" t="s">
        <v>40</v>
      </c>
      <c r="G551" s="3">
        <v>41500</v>
      </c>
      <c r="H551" s="3">
        <v>1</v>
      </c>
      <c r="I551" s="1" t="s">
        <v>41</v>
      </c>
      <c r="J551" s="1">
        <v>2</v>
      </c>
      <c r="L551" s="1" t="s">
        <v>1841</v>
      </c>
      <c r="M551" s="1" t="s">
        <v>176</v>
      </c>
      <c r="O551" s="1">
        <v>458.24209999999999</v>
      </c>
      <c r="Q551" s="1" t="s">
        <v>46</v>
      </c>
      <c r="R551" s="1" t="s">
        <v>47</v>
      </c>
      <c r="S551" s="1" t="s">
        <v>47</v>
      </c>
      <c r="T551" s="1" t="s">
        <v>48</v>
      </c>
      <c r="U551" s="1" t="s">
        <v>47</v>
      </c>
      <c r="V551" s="1" t="s">
        <v>47</v>
      </c>
      <c r="W551" s="1" t="s">
        <v>47</v>
      </c>
      <c r="Z551" s="1">
        <v>0</v>
      </c>
      <c r="AB551" s="1" t="s">
        <v>47</v>
      </c>
      <c r="AD551" s="1">
        <v>527084</v>
      </c>
      <c r="AF551" s="1" t="s">
        <v>47</v>
      </c>
      <c r="AG551" s="1" t="s">
        <v>47</v>
      </c>
      <c r="AH551" s="1" t="s">
        <v>49</v>
      </c>
      <c r="AI551" s="1" t="s">
        <v>47</v>
      </c>
      <c r="AK551" s="1" t="s">
        <v>48</v>
      </c>
      <c r="AL551" s="1" t="s">
        <v>1842</v>
      </c>
    </row>
    <row r="552" spans="1:38">
      <c r="A552" s="1">
        <v>5138093</v>
      </c>
      <c r="B552" s="1" t="s">
        <v>1843</v>
      </c>
      <c r="C552" s="1" t="str">
        <f>"9780273738404"</f>
        <v>9780273738404</v>
      </c>
      <c r="D552" s="1" t="str">
        <f>"9780273738411"</f>
        <v>9780273738411</v>
      </c>
      <c r="E552" s="1" t="s">
        <v>52</v>
      </c>
      <c r="F552" s="1" t="s">
        <v>157</v>
      </c>
      <c r="G552" s="3">
        <v>40745</v>
      </c>
      <c r="H552" s="3">
        <v>1</v>
      </c>
      <c r="I552" s="1" t="s">
        <v>41</v>
      </c>
      <c r="J552" s="1">
        <v>3</v>
      </c>
      <c r="L552" s="1" t="s">
        <v>1844</v>
      </c>
      <c r="Q552" s="1" t="s">
        <v>46</v>
      </c>
      <c r="R552" s="1" t="s">
        <v>47</v>
      </c>
      <c r="S552" s="1" t="s">
        <v>47</v>
      </c>
      <c r="T552" s="1" t="s">
        <v>48</v>
      </c>
      <c r="U552" s="1" t="s">
        <v>47</v>
      </c>
      <c r="V552" s="1" t="s">
        <v>47</v>
      </c>
      <c r="W552" s="1" t="s">
        <v>47</v>
      </c>
      <c r="Z552" s="1">
        <v>0</v>
      </c>
      <c r="AB552" s="1" t="s">
        <v>47</v>
      </c>
      <c r="AD552" s="1">
        <v>317329</v>
      </c>
      <c r="AF552" s="1" t="s">
        <v>47</v>
      </c>
      <c r="AG552" s="1" t="s">
        <v>47</v>
      </c>
      <c r="AH552" s="1" t="s">
        <v>49</v>
      </c>
      <c r="AI552" s="1" t="s">
        <v>47</v>
      </c>
      <c r="AK552" s="1" t="s">
        <v>48</v>
      </c>
      <c r="AL552" s="1" t="s">
        <v>1845</v>
      </c>
    </row>
    <row r="553" spans="1:38">
      <c r="A553" s="1">
        <v>5138106</v>
      </c>
      <c r="B553" s="1" t="s">
        <v>1846</v>
      </c>
      <c r="C553" s="1" t="str">
        <f>"9781292021706"</f>
        <v>9781292021706</v>
      </c>
      <c r="D553" s="1" t="str">
        <f>"9781292034935"</f>
        <v>9781292034935</v>
      </c>
      <c r="E553" s="1" t="s">
        <v>52</v>
      </c>
      <c r="F553" s="1" t="s">
        <v>40</v>
      </c>
      <c r="G553" s="3">
        <v>41478</v>
      </c>
      <c r="H553" s="3">
        <v>1</v>
      </c>
      <c r="I553" s="1" t="s">
        <v>41</v>
      </c>
      <c r="J553" s="1">
        <v>2</v>
      </c>
      <c r="L553" s="1" t="s">
        <v>1847</v>
      </c>
      <c r="M553" s="1" t="s">
        <v>1519</v>
      </c>
      <c r="O553" s="1">
        <v>550.28</v>
      </c>
      <c r="Q553" s="1" t="s">
        <v>46</v>
      </c>
      <c r="R553" s="1" t="s">
        <v>47</v>
      </c>
      <c r="S553" s="1" t="s">
        <v>47</v>
      </c>
      <c r="T553" s="1" t="s">
        <v>48</v>
      </c>
      <c r="U553" s="1" t="s">
        <v>47</v>
      </c>
      <c r="V553" s="1" t="s">
        <v>47</v>
      </c>
      <c r="W553" s="1" t="s">
        <v>47</v>
      </c>
      <c r="Z553" s="1">
        <v>0</v>
      </c>
      <c r="AB553" s="1" t="s">
        <v>47</v>
      </c>
      <c r="AD553" s="1">
        <v>527245</v>
      </c>
      <c r="AF553" s="1" t="s">
        <v>47</v>
      </c>
      <c r="AG553" s="1" t="s">
        <v>47</v>
      </c>
      <c r="AH553" s="1" t="s">
        <v>49</v>
      </c>
      <c r="AI553" s="1" t="s">
        <v>47</v>
      </c>
      <c r="AK553" s="1" t="s">
        <v>48</v>
      </c>
      <c r="AL553" s="1" t="s">
        <v>1848</v>
      </c>
    </row>
    <row r="554" spans="1:38">
      <c r="A554" s="1">
        <v>5138110</v>
      </c>
      <c r="B554" s="1" t="s">
        <v>1849</v>
      </c>
      <c r="C554" s="1" t="str">
        <f>"9781292026015"</f>
        <v>9781292026015</v>
      </c>
      <c r="D554" s="1" t="str">
        <f>"9781292038421"</f>
        <v>9781292038421</v>
      </c>
      <c r="E554" s="1" t="s">
        <v>52</v>
      </c>
      <c r="F554" s="1" t="s">
        <v>40</v>
      </c>
      <c r="G554" s="3">
        <v>41473</v>
      </c>
      <c r="H554" s="3">
        <v>1</v>
      </c>
      <c r="I554" s="1" t="s">
        <v>41</v>
      </c>
      <c r="J554" s="1">
        <v>8</v>
      </c>
      <c r="L554" s="1" t="s">
        <v>1850</v>
      </c>
      <c r="M554" s="1" t="s">
        <v>1497</v>
      </c>
      <c r="O554" s="1">
        <v>629.83000000000004</v>
      </c>
      <c r="Q554" s="1" t="s">
        <v>46</v>
      </c>
      <c r="R554" s="1" t="s">
        <v>47</v>
      </c>
      <c r="S554" s="1" t="s">
        <v>47</v>
      </c>
      <c r="T554" s="1" t="s">
        <v>48</v>
      </c>
      <c r="U554" s="1" t="s">
        <v>47</v>
      </c>
      <c r="V554" s="1" t="s">
        <v>47</v>
      </c>
      <c r="W554" s="1" t="s">
        <v>47</v>
      </c>
      <c r="Z554" s="1">
        <v>0</v>
      </c>
      <c r="AB554" s="1" t="s">
        <v>47</v>
      </c>
      <c r="AD554" s="1">
        <v>527222</v>
      </c>
      <c r="AF554" s="1" t="s">
        <v>47</v>
      </c>
      <c r="AG554" s="1" t="s">
        <v>47</v>
      </c>
      <c r="AH554" s="1" t="s">
        <v>49</v>
      </c>
      <c r="AI554" s="1" t="s">
        <v>47</v>
      </c>
      <c r="AK554" s="1" t="s">
        <v>48</v>
      </c>
      <c r="AL554" s="1" t="s">
        <v>1851</v>
      </c>
    </row>
    <row r="555" spans="1:38">
      <c r="A555" s="1">
        <v>5138111</v>
      </c>
      <c r="B555" s="1" t="s">
        <v>1852</v>
      </c>
      <c r="C555" s="1" t="str">
        <f>"9781292022635"</f>
        <v>9781292022635</v>
      </c>
      <c r="D555" s="1" t="str">
        <f>"9781292035833"</f>
        <v>9781292035833</v>
      </c>
      <c r="E555" s="1" t="s">
        <v>52</v>
      </c>
      <c r="F555" s="1" t="s">
        <v>40</v>
      </c>
      <c r="G555" s="3">
        <v>41481</v>
      </c>
      <c r="H555" s="3">
        <v>1</v>
      </c>
      <c r="I555" s="1" t="s">
        <v>41</v>
      </c>
      <c r="J555" s="1">
        <v>11</v>
      </c>
      <c r="L555" s="1" t="s">
        <v>1853</v>
      </c>
      <c r="M555" s="1" t="s">
        <v>372</v>
      </c>
      <c r="O555" s="1">
        <v>302.3</v>
      </c>
      <c r="Q555" s="1" t="s">
        <v>46</v>
      </c>
      <c r="R555" s="1" t="s">
        <v>47</v>
      </c>
      <c r="S555" s="1" t="s">
        <v>47</v>
      </c>
      <c r="T555" s="1" t="s">
        <v>48</v>
      </c>
      <c r="U555" s="1" t="s">
        <v>47</v>
      </c>
      <c r="V555" s="1" t="s">
        <v>47</v>
      </c>
      <c r="W555" s="1" t="s">
        <v>47</v>
      </c>
      <c r="Z555" s="1">
        <v>0</v>
      </c>
      <c r="AB555" s="1" t="s">
        <v>47</v>
      </c>
      <c r="AD555" s="1">
        <v>527164</v>
      </c>
      <c r="AF555" s="1" t="s">
        <v>47</v>
      </c>
      <c r="AG555" s="1" t="s">
        <v>47</v>
      </c>
      <c r="AH555" s="1" t="s">
        <v>49</v>
      </c>
      <c r="AI555" s="1" t="s">
        <v>47</v>
      </c>
      <c r="AK555" s="1" t="s">
        <v>48</v>
      </c>
      <c r="AL555" s="1" t="s">
        <v>1854</v>
      </c>
    </row>
    <row r="556" spans="1:38">
      <c r="A556" s="1">
        <v>5138116</v>
      </c>
      <c r="B556" s="1" t="s">
        <v>1855</v>
      </c>
      <c r="C556" s="1" t="str">
        <f>"9781292026268"</f>
        <v>9781292026268</v>
      </c>
      <c r="D556" s="1" t="str">
        <f>"9781292038650"</f>
        <v>9781292038650</v>
      </c>
      <c r="E556" s="1" t="s">
        <v>52</v>
      </c>
      <c r="F556" s="1" t="s">
        <v>40</v>
      </c>
      <c r="G556" s="3">
        <v>41515</v>
      </c>
      <c r="H556" s="3">
        <v>1</v>
      </c>
      <c r="I556" s="1" t="s">
        <v>41</v>
      </c>
      <c r="J556" s="1">
        <v>7</v>
      </c>
      <c r="L556" s="1" t="s">
        <v>1856</v>
      </c>
      <c r="Q556" s="1" t="s">
        <v>46</v>
      </c>
      <c r="R556" s="1" t="s">
        <v>47</v>
      </c>
      <c r="S556" s="1" t="s">
        <v>47</v>
      </c>
      <c r="T556" s="1" t="s">
        <v>48</v>
      </c>
      <c r="U556" s="1" t="s">
        <v>47</v>
      </c>
      <c r="V556" s="1" t="s">
        <v>47</v>
      </c>
      <c r="W556" s="1" t="s">
        <v>47</v>
      </c>
      <c r="Z556" s="1">
        <v>0</v>
      </c>
      <c r="AB556" s="1" t="s">
        <v>47</v>
      </c>
      <c r="AD556" s="1">
        <v>527287</v>
      </c>
      <c r="AF556" s="1" t="s">
        <v>47</v>
      </c>
      <c r="AG556" s="1" t="s">
        <v>47</v>
      </c>
      <c r="AH556" s="1" t="s">
        <v>49</v>
      </c>
      <c r="AI556" s="1" t="s">
        <v>47</v>
      </c>
      <c r="AK556" s="1" t="s">
        <v>48</v>
      </c>
      <c r="AL556" s="1" t="s">
        <v>1857</v>
      </c>
    </row>
    <row r="557" spans="1:38">
      <c r="A557" s="1">
        <v>5138118</v>
      </c>
      <c r="B557" s="1" t="s">
        <v>1858</v>
      </c>
      <c r="C557" s="1" t="str">
        <f>"9781292023830"</f>
        <v>9781292023830</v>
      </c>
      <c r="D557" s="1" t="str">
        <f>"9781292036960"</f>
        <v>9781292036960</v>
      </c>
      <c r="E557" s="1" t="s">
        <v>52</v>
      </c>
      <c r="F557" s="1" t="s">
        <v>40</v>
      </c>
      <c r="G557" s="3">
        <v>41482</v>
      </c>
      <c r="H557" s="3">
        <v>1</v>
      </c>
      <c r="I557" s="1" t="s">
        <v>41</v>
      </c>
      <c r="J557" s="1">
        <v>8</v>
      </c>
      <c r="L557" s="1" t="s">
        <v>1859</v>
      </c>
      <c r="M557" s="1" t="s">
        <v>242</v>
      </c>
      <c r="O557" s="1">
        <v>519.20246199999997</v>
      </c>
      <c r="Q557" s="1" t="s">
        <v>46</v>
      </c>
      <c r="R557" s="1" t="s">
        <v>47</v>
      </c>
      <c r="S557" s="1" t="s">
        <v>47</v>
      </c>
      <c r="T557" s="1" t="s">
        <v>48</v>
      </c>
      <c r="U557" s="1" t="s">
        <v>47</v>
      </c>
      <c r="V557" s="1" t="s">
        <v>47</v>
      </c>
      <c r="W557" s="1" t="s">
        <v>47</v>
      </c>
      <c r="Z557" s="1">
        <v>0</v>
      </c>
      <c r="AB557" s="1" t="s">
        <v>47</v>
      </c>
      <c r="AD557" s="1">
        <v>527152</v>
      </c>
      <c r="AF557" s="1" t="s">
        <v>47</v>
      </c>
      <c r="AG557" s="1" t="s">
        <v>47</v>
      </c>
      <c r="AH557" s="1" t="s">
        <v>49</v>
      </c>
      <c r="AI557" s="1" t="s">
        <v>47</v>
      </c>
      <c r="AK557" s="1" t="s">
        <v>48</v>
      </c>
      <c r="AL557" s="1" t="s">
        <v>1860</v>
      </c>
    </row>
    <row r="558" spans="1:38">
      <c r="A558" s="1">
        <v>5138119</v>
      </c>
      <c r="B558" s="1" t="s">
        <v>1861</v>
      </c>
      <c r="C558" s="1" t="str">
        <f>"9781292024943"</f>
        <v>9781292024943</v>
      </c>
      <c r="D558" s="1" t="str">
        <f>"9781292037578"</f>
        <v>9781292037578</v>
      </c>
      <c r="E558" s="1" t="s">
        <v>52</v>
      </c>
      <c r="F558" s="1" t="s">
        <v>40</v>
      </c>
      <c r="G558" s="3">
        <v>41479</v>
      </c>
      <c r="H558" s="3">
        <v>1</v>
      </c>
      <c r="I558" s="1" t="s">
        <v>41</v>
      </c>
      <c r="J558" s="1">
        <v>6</v>
      </c>
      <c r="L558" s="1" t="s">
        <v>1862</v>
      </c>
      <c r="M558" s="1" t="s">
        <v>242</v>
      </c>
      <c r="O558" s="1">
        <v>519.53499999999997</v>
      </c>
      <c r="Q558" s="1" t="s">
        <v>46</v>
      </c>
      <c r="R558" s="1" t="s">
        <v>47</v>
      </c>
      <c r="S558" s="1" t="s">
        <v>47</v>
      </c>
      <c r="T558" s="1" t="s">
        <v>48</v>
      </c>
      <c r="U558" s="1" t="s">
        <v>47</v>
      </c>
      <c r="V558" s="1" t="s">
        <v>47</v>
      </c>
      <c r="W558" s="1" t="s">
        <v>47</v>
      </c>
      <c r="Z558" s="1">
        <v>0</v>
      </c>
      <c r="AB558" s="1" t="s">
        <v>47</v>
      </c>
      <c r="AD558" s="1">
        <v>527281</v>
      </c>
      <c r="AF558" s="1" t="s">
        <v>47</v>
      </c>
      <c r="AG558" s="1" t="s">
        <v>47</v>
      </c>
      <c r="AH558" s="1" t="s">
        <v>49</v>
      </c>
      <c r="AI558" s="1" t="s">
        <v>47</v>
      </c>
      <c r="AK558" s="1" t="s">
        <v>48</v>
      </c>
      <c r="AL558" s="1" t="s">
        <v>1863</v>
      </c>
    </row>
    <row r="559" spans="1:38">
      <c r="A559" s="1">
        <v>5138120</v>
      </c>
      <c r="B559" s="1" t="s">
        <v>1864</v>
      </c>
      <c r="C559" s="1" t="str">
        <f>"9781292027500"</f>
        <v>9781292027500</v>
      </c>
      <c r="D559" s="1" t="str">
        <f>"9781292053691"</f>
        <v>9781292053691</v>
      </c>
      <c r="E559" s="1" t="s">
        <v>52</v>
      </c>
      <c r="F559" s="1" t="s">
        <v>40</v>
      </c>
      <c r="G559" s="3">
        <v>41579</v>
      </c>
      <c r="H559" s="3">
        <v>1</v>
      </c>
      <c r="I559" s="1" t="s">
        <v>41</v>
      </c>
      <c r="J559" s="1">
        <v>10</v>
      </c>
      <c r="L559" s="1" t="s">
        <v>1865</v>
      </c>
      <c r="M559" s="1" t="s">
        <v>1010</v>
      </c>
      <c r="O559" s="1">
        <v>579.07799999999997</v>
      </c>
      <c r="Q559" s="1" t="s">
        <v>46</v>
      </c>
      <c r="R559" s="1" t="s">
        <v>47</v>
      </c>
      <c r="S559" s="1" t="s">
        <v>47</v>
      </c>
      <c r="T559" s="1" t="s">
        <v>48</v>
      </c>
      <c r="U559" s="1" t="s">
        <v>47</v>
      </c>
      <c r="V559" s="1" t="s">
        <v>47</v>
      </c>
      <c r="W559" s="1" t="s">
        <v>47</v>
      </c>
      <c r="Z559" s="1">
        <v>0</v>
      </c>
      <c r="AB559" s="1" t="s">
        <v>47</v>
      </c>
      <c r="AD559" s="1">
        <v>543466</v>
      </c>
      <c r="AF559" s="1" t="s">
        <v>47</v>
      </c>
      <c r="AG559" s="1" t="s">
        <v>47</v>
      </c>
      <c r="AH559" s="1" t="s">
        <v>49</v>
      </c>
      <c r="AI559" s="1" t="s">
        <v>47</v>
      </c>
      <c r="AK559" s="1" t="s">
        <v>48</v>
      </c>
      <c r="AL559" s="1" t="s">
        <v>1866</v>
      </c>
    </row>
    <row r="560" spans="1:38">
      <c r="A560" s="1">
        <v>5138121</v>
      </c>
      <c r="B560" s="1" t="s">
        <v>1867</v>
      </c>
      <c r="C560" s="1" t="str">
        <f>"9781292041438"</f>
        <v>9781292041438</v>
      </c>
      <c r="D560" s="1" t="str">
        <f>"9781292053707"</f>
        <v>9781292053707</v>
      </c>
      <c r="E560" s="1" t="s">
        <v>52</v>
      </c>
      <c r="F560" s="1" t="s">
        <v>40</v>
      </c>
      <c r="G560" s="3">
        <v>41579</v>
      </c>
      <c r="H560" s="3">
        <v>1</v>
      </c>
      <c r="I560" s="1" t="s">
        <v>41</v>
      </c>
      <c r="J560" s="1">
        <v>4</v>
      </c>
      <c r="L560" s="1" t="s">
        <v>1868</v>
      </c>
      <c r="M560" s="1" t="s">
        <v>54</v>
      </c>
      <c r="O560" s="1">
        <v>370.1</v>
      </c>
      <c r="Q560" s="1" t="s">
        <v>46</v>
      </c>
      <c r="R560" s="1" t="s">
        <v>47</v>
      </c>
      <c r="S560" s="1" t="s">
        <v>47</v>
      </c>
      <c r="T560" s="1" t="s">
        <v>48</v>
      </c>
      <c r="U560" s="1" t="s">
        <v>47</v>
      </c>
      <c r="V560" s="1" t="s">
        <v>47</v>
      </c>
      <c r="W560" s="1" t="s">
        <v>47</v>
      </c>
      <c r="Z560" s="1">
        <v>0</v>
      </c>
      <c r="AB560" s="1" t="s">
        <v>47</v>
      </c>
      <c r="AD560" s="1">
        <v>543362</v>
      </c>
      <c r="AF560" s="1" t="s">
        <v>47</v>
      </c>
      <c r="AG560" s="1" t="s">
        <v>47</v>
      </c>
      <c r="AH560" s="1" t="s">
        <v>49</v>
      </c>
      <c r="AI560" s="1" t="s">
        <v>47</v>
      </c>
      <c r="AK560" s="1" t="s">
        <v>48</v>
      </c>
      <c r="AL560" s="1" t="s">
        <v>1869</v>
      </c>
    </row>
    <row r="561" spans="1:38">
      <c r="A561" s="1">
        <v>5138122</v>
      </c>
      <c r="B561" s="1" t="s">
        <v>1870</v>
      </c>
      <c r="C561" s="1" t="str">
        <f>"9781292022611"</f>
        <v>9781292022611</v>
      </c>
      <c r="D561" s="1" t="str">
        <f>"9781292035819"</f>
        <v>9781292035819</v>
      </c>
      <c r="E561" s="1" t="s">
        <v>52</v>
      </c>
      <c r="F561" s="1" t="s">
        <v>40</v>
      </c>
      <c r="G561" s="3">
        <v>41472</v>
      </c>
      <c r="H561" s="3">
        <v>1</v>
      </c>
      <c r="I561" s="1" t="s">
        <v>41</v>
      </c>
      <c r="J561" s="1">
        <v>7</v>
      </c>
      <c r="L561" s="1" t="s">
        <v>1871</v>
      </c>
      <c r="M561" s="1" t="s">
        <v>242</v>
      </c>
      <c r="O561" s="1">
        <v>511.1</v>
      </c>
      <c r="Q561" s="1" t="s">
        <v>46</v>
      </c>
      <c r="R561" s="1" t="s">
        <v>47</v>
      </c>
      <c r="S561" s="1" t="s">
        <v>47</v>
      </c>
      <c r="T561" s="1" t="s">
        <v>48</v>
      </c>
      <c r="U561" s="1" t="s">
        <v>47</v>
      </c>
      <c r="V561" s="1" t="s">
        <v>47</v>
      </c>
      <c r="W561" s="1" t="s">
        <v>47</v>
      </c>
      <c r="Z561" s="1">
        <v>0</v>
      </c>
      <c r="AB561" s="1" t="s">
        <v>47</v>
      </c>
      <c r="AD561" s="1">
        <v>527165</v>
      </c>
      <c r="AF561" s="1" t="s">
        <v>47</v>
      </c>
      <c r="AG561" s="1" t="s">
        <v>47</v>
      </c>
      <c r="AH561" s="1" t="s">
        <v>49</v>
      </c>
      <c r="AI561" s="1" t="s">
        <v>47</v>
      </c>
      <c r="AK561" s="1" t="s">
        <v>48</v>
      </c>
      <c r="AL561" s="1" t="s">
        <v>1872</v>
      </c>
    </row>
    <row r="562" spans="1:38">
      <c r="A562" s="1">
        <v>5138123</v>
      </c>
      <c r="B562" s="1" t="s">
        <v>1873</v>
      </c>
      <c r="C562" s="1" t="str">
        <f>"9781292023731"</f>
        <v>9781292023731</v>
      </c>
      <c r="D562" s="1" t="str">
        <f>"9781292036861"</f>
        <v>9781292036861</v>
      </c>
      <c r="E562" s="1" t="s">
        <v>52</v>
      </c>
      <c r="F562" s="1" t="s">
        <v>40</v>
      </c>
      <c r="G562" s="3">
        <v>41472</v>
      </c>
      <c r="H562" s="3">
        <v>1</v>
      </c>
      <c r="I562" s="1" t="s">
        <v>41</v>
      </c>
      <c r="J562" s="1">
        <v>4</v>
      </c>
      <c r="L562" s="1" t="s">
        <v>1874</v>
      </c>
      <c r="M562" s="1" t="s">
        <v>1107</v>
      </c>
      <c r="O562" s="1">
        <v>808.06600000000003</v>
      </c>
      <c r="Q562" s="1" t="s">
        <v>46</v>
      </c>
      <c r="R562" s="1" t="s">
        <v>47</v>
      </c>
      <c r="S562" s="1" t="s">
        <v>47</v>
      </c>
      <c r="T562" s="1" t="s">
        <v>48</v>
      </c>
      <c r="U562" s="1" t="s">
        <v>47</v>
      </c>
      <c r="V562" s="1" t="s">
        <v>47</v>
      </c>
      <c r="W562" s="1" t="s">
        <v>47</v>
      </c>
      <c r="Z562" s="1">
        <v>0</v>
      </c>
      <c r="AB562" s="1" t="s">
        <v>47</v>
      </c>
      <c r="AD562" s="1">
        <v>527050</v>
      </c>
      <c r="AF562" s="1" t="s">
        <v>47</v>
      </c>
      <c r="AG562" s="1" t="s">
        <v>47</v>
      </c>
      <c r="AH562" s="1" t="s">
        <v>49</v>
      </c>
      <c r="AI562" s="1" t="s">
        <v>47</v>
      </c>
      <c r="AK562" s="1" t="s">
        <v>48</v>
      </c>
      <c r="AL562" s="1" t="s">
        <v>1875</v>
      </c>
    </row>
    <row r="563" spans="1:38">
      <c r="A563" s="1">
        <v>5138135</v>
      </c>
      <c r="B563" s="1" t="s">
        <v>1876</v>
      </c>
      <c r="C563" s="1" t="str">
        <f>""</f>
        <v/>
      </c>
      <c r="D563" s="1" t="str">
        <f>"9780273751083"</f>
        <v>9780273751083</v>
      </c>
      <c r="E563" s="1" t="s">
        <v>52</v>
      </c>
      <c r="F563" s="1" t="s">
        <v>84</v>
      </c>
      <c r="G563" s="3">
        <v>40745</v>
      </c>
      <c r="H563" s="3">
        <v>1</v>
      </c>
      <c r="I563" s="1" t="s">
        <v>41</v>
      </c>
      <c r="J563" s="1">
        <v>1</v>
      </c>
      <c r="L563" s="1" t="s">
        <v>1877</v>
      </c>
      <c r="Q563" s="1" t="s">
        <v>46</v>
      </c>
      <c r="R563" s="1" t="s">
        <v>47</v>
      </c>
      <c r="S563" s="1" t="s">
        <v>47</v>
      </c>
      <c r="T563" s="1" t="s">
        <v>48</v>
      </c>
      <c r="U563" s="1" t="s">
        <v>47</v>
      </c>
      <c r="V563" s="1" t="s">
        <v>47</v>
      </c>
      <c r="W563" s="1" t="s">
        <v>47</v>
      </c>
      <c r="Z563" s="1">
        <v>0</v>
      </c>
      <c r="AB563" s="1" t="s">
        <v>47</v>
      </c>
      <c r="AD563" s="1">
        <v>317343</v>
      </c>
      <c r="AF563" s="1" t="s">
        <v>47</v>
      </c>
      <c r="AG563" s="1" t="s">
        <v>47</v>
      </c>
      <c r="AH563" s="1" t="s">
        <v>49</v>
      </c>
      <c r="AI563" s="1" t="s">
        <v>47</v>
      </c>
      <c r="AK563" s="1" t="s">
        <v>48</v>
      </c>
      <c r="AL563" s="1" t="s">
        <v>1878</v>
      </c>
    </row>
    <row r="564" spans="1:38">
      <c r="A564" s="1">
        <v>5138136</v>
      </c>
      <c r="B564" s="1" t="s">
        <v>1879</v>
      </c>
      <c r="C564" s="1" t="str">
        <f>"9781292022482"</f>
        <v>9781292022482</v>
      </c>
      <c r="D564" s="1" t="str">
        <f>"9781292035680"</f>
        <v>9781292035680</v>
      </c>
      <c r="E564" s="1" t="s">
        <v>52</v>
      </c>
      <c r="F564" s="1" t="s">
        <v>40</v>
      </c>
      <c r="G564" s="3">
        <v>41455</v>
      </c>
      <c r="H564" s="3">
        <v>1</v>
      </c>
      <c r="I564" s="1" t="s">
        <v>41</v>
      </c>
      <c r="J564" s="1">
        <v>2</v>
      </c>
      <c r="L564" s="1" t="s">
        <v>1880</v>
      </c>
      <c r="M564" s="1" t="s">
        <v>176</v>
      </c>
      <c r="O564" s="1">
        <v>469.82420999999999</v>
      </c>
      <c r="Q564" s="1" t="s">
        <v>46</v>
      </c>
      <c r="R564" s="1" t="s">
        <v>47</v>
      </c>
      <c r="S564" s="1" t="s">
        <v>47</v>
      </c>
      <c r="T564" s="1" t="s">
        <v>48</v>
      </c>
      <c r="U564" s="1" t="s">
        <v>47</v>
      </c>
      <c r="V564" s="1" t="s">
        <v>47</v>
      </c>
      <c r="W564" s="1" t="s">
        <v>47</v>
      </c>
      <c r="Z564" s="1">
        <v>0</v>
      </c>
      <c r="AB564" s="1" t="s">
        <v>47</v>
      </c>
      <c r="AD564" s="1">
        <v>526991</v>
      </c>
      <c r="AF564" s="1" t="s">
        <v>47</v>
      </c>
      <c r="AG564" s="1" t="s">
        <v>47</v>
      </c>
      <c r="AH564" s="1" t="s">
        <v>49</v>
      </c>
      <c r="AI564" s="1" t="s">
        <v>47</v>
      </c>
      <c r="AK564" s="1" t="s">
        <v>48</v>
      </c>
      <c r="AL564" s="1" t="s">
        <v>1881</v>
      </c>
    </row>
    <row r="565" spans="1:38">
      <c r="A565" s="1">
        <v>5138139</v>
      </c>
      <c r="B565" s="1" t="s">
        <v>1882</v>
      </c>
      <c r="C565" s="1" t="str">
        <f>"9781292021355"</f>
        <v>9781292021355</v>
      </c>
      <c r="D565" s="1" t="str">
        <f>"9781292034584"</f>
        <v>9781292034584</v>
      </c>
      <c r="E565" s="1" t="s">
        <v>52</v>
      </c>
      <c r="F565" s="1" t="s">
        <v>40</v>
      </c>
      <c r="G565" s="3">
        <v>41473</v>
      </c>
      <c r="H565" s="3">
        <v>1</v>
      </c>
      <c r="I565" s="1" t="s">
        <v>41</v>
      </c>
      <c r="J565" s="1">
        <v>11</v>
      </c>
      <c r="L565" s="1" t="s">
        <v>1883</v>
      </c>
      <c r="M565" s="1" t="s">
        <v>1884</v>
      </c>
      <c r="O565" s="1">
        <v>677</v>
      </c>
      <c r="Q565" s="1" t="s">
        <v>46</v>
      </c>
      <c r="R565" s="1" t="s">
        <v>47</v>
      </c>
      <c r="S565" s="1" t="s">
        <v>47</v>
      </c>
      <c r="T565" s="1" t="s">
        <v>48</v>
      </c>
      <c r="U565" s="1" t="s">
        <v>47</v>
      </c>
      <c r="V565" s="1" t="s">
        <v>47</v>
      </c>
      <c r="W565" s="1" t="s">
        <v>47</v>
      </c>
      <c r="Z565" s="1">
        <v>0</v>
      </c>
      <c r="AB565" s="1" t="s">
        <v>47</v>
      </c>
      <c r="AD565" s="1">
        <v>527130</v>
      </c>
      <c r="AF565" s="1" t="s">
        <v>47</v>
      </c>
      <c r="AG565" s="1" t="s">
        <v>47</v>
      </c>
      <c r="AH565" s="1" t="s">
        <v>49</v>
      </c>
      <c r="AI565" s="1" t="s">
        <v>47</v>
      </c>
      <c r="AK565" s="1" t="s">
        <v>48</v>
      </c>
      <c r="AL565" s="1" t="s">
        <v>1885</v>
      </c>
    </row>
    <row r="566" spans="1:38">
      <c r="A566" s="1">
        <v>5138143</v>
      </c>
      <c r="B566" s="1" t="s">
        <v>1886</v>
      </c>
      <c r="C566" s="1" t="str">
        <f>"9781292021980"</f>
        <v>9781292021980</v>
      </c>
      <c r="D566" s="1" t="str">
        <f>"9781292035192"</f>
        <v>9781292035192</v>
      </c>
      <c r="E566" s="1" t="s">
        <v>52</v>
      </c>
      <c r="F566" s="1" t="s">
        <v>40</v>
      </c>
      <c r="G566" s="3">
        <v>41488</v>
      </c>
      <c r="H566" s="3">
        <v>1</v>
      </c>
      <c r="I566" s="1" t="s">
        <v>41</v>
      </c>
      <c r="J566" s="1">
        <v>3</v>
      </c>
      <c r="L566" s="1" t="s">
        <v>1887</v>
      </c>
      <c r="M566" s="1" t="s">
        <v>54</v>
      </c>
      <c r="O566" s="1">
        <v>371.9144</v>
      </c>
      <c r="Q566" s="1" t="s">
        <v>46</v>
      </c>
      <c r="R566" s="1" t="s">
        <v>47</v>
      </c>
      <c r="S566" s="1" t="s">
        <v>47</v>
      </c>
      <c r="T566" s="1" t="s">
        <v>48</v>
      </c>
      <c r="U566" s="1" t="s">
        <v>47</v>
      </c>
      <c r="V566" s="1" t="s">
        <v>47</v>
      </c>
      <c r="W566" s="1" t="s">
        <v>47</v>
      </c>
      <c r="Z566" s="1">
        <v>0</v>
      </c>
      <c r="AB566" s="1" t="s">
        <v>47</v>
      </c>
      <c r="AD566" s="1">
        <v>527380</v>
      </c>
      <c r="AF566" s="1" t="s">
        <v>47</v>
      </c>
      <c r="AG566" s="1" t="s">
        <v>47</v>
      </c>
      <c r="AH566" s="1" t="s">
        <v>49</v>
      </c>
      <c r="AI566" s="1" t="s">
        <v>47</v>
      </c>
      <c r="AK566" s="1" t="s">
        <v>48</v>
      </c>
      <c r="AL566" s="1" t="s">
        <v>1888</v>
      </c>
    </row>
    <row r="567" spans="1:38">
      <c r="A567" s="1">
        <v>5138148</v>
      </c>
      <c r="B567" s="1" t="s">
        <v>1889</v>
      </c>
      <c r="C567" s="1" t="str">
        <f>"9781292023373"</f>
        <v>9781292023373</v>
      </c>
      <c r="D567" s="1" t="str">
        <f>"9781292036540"</f>
        <v>9781292036540</v>
      </c>
      <c r="E567" s="1" t="s">
        <v>52</v>
      </c>
      <c r="F567" s="1" t="s">
        <v>40</v>
      </c>
      <c r="G567" s="3">
        <v>41472</v>
      </c>
      <c r="H567" s="3">
        <v>1</v>
      </c>
      <c r="I567" s="1" t="s">
        <v>41</v>
      </c>
      <c r="J567" s="1">
        <v>2</v>
      </c>
      <c r="L567" s="1" t="s">
        <v>1890</v>
      </c>
      <c r="M567" s="1" t="s">
        <v>59</v>
      </c>
      <c r="O567" s="1">
        <v>657.02850000000001</v>
      </c>
      <c r="Q567" s="1" t="s">
        <v>46</v>
      </c>
      <c r="R567" s="1" t="s">
        <v>47</v>
      </c>
      <c r="S567" s="1" t="s">
        <v>47</v>
      </c>
      <c r="T567" s="1" t="s">
        <v>48</v>
      </c>
      <c r="U567" s="1" t="s">
        <v>47</v>
      </c>
      <c r="V567" s="1" t="s">
        <v>47</v>
      </c>
      <c r="W567" s="1" t="s">
        <v>47</v>
      </c>
      <c r="Z567" s="1">
        <v>0</v>
      </c>
      <c r="AB567" s="1" t="s">
        <v>47</v>
      </c>
      <c r="AF567" s="1" t="s">
        <v>47</v>
      </c>
      <c r="AG567" s="1" t="s">
        <v>47</v>
      </c>
      <c r="AH567" s="1" t="s">
        <v>49</v>
      </c>
      <c r="AI567" s="1" t="s">
        <v>47</v>
      </c>
      <c r="AK567" s="1" t="s">
        <v>48</v>
      </c>
      <c r="AL567" s="1" t="s">
        <v>1891</v>
      </c>
    </row>
    <row r="568" spans="1:38">
      <c r="A568" s="1">
        <v>5138152</v>
      </c>
      <c r="B568" s="1" t="s">
        <v>1892</v>
      </c>
      <c r="C568" s="1" t="str">
        <f>"9781292039107"</f>
        <v>9781292039107</v>
      </c>
      <c r="D568" s="1" t="str">
        <f>"9781292056333"</f>
        <v>9781292056333</v>
      </c>
      <c r="E568" s="1" t="s">
        <v>52</v>
      </c>
      <c r="F568" s="1" t="s">
        <v>40</v>
      </c>
      <c r="G568" s="3">
        <v>41579</v>
      </c>
      <c r="H568" s="3">
        <v>1</v>
      </c>
      <c r="I568" s="1" t="s">
        <v>41</v>
      </c>
      <c r="J568" s="1">
        <v>3</v>
      </c>
      <c r="L568" s="1" t="s">
        <v>1893</v>
      </c>
      <c r="M568" s="1" t="s">
        <v>43</v>
      </c>
      <c r="O568" s="1">
        <v>624.15099999999995</v>
      </c>
      <c r="Q568" s="1" t="s">
        <v>46</v>
      </c>
      <c r="R568" s="1" t="s">
        <v>47</v>
      </c>
      <c r="S568" s="1" t="s">
        <v>47</v>
      </c>
      <c r="T568" s="1" t="s">
        <v>48</v>
      </c>
      <c r="U568" s="1" t="s">
        <v>47</v>
      </c>
      <c r="V568" s="1" t="s">
        <v>47</v>
      </c>
      <c r="W568" s="1" t="s">
        <v>47</v>
      </c>
      <c r="Z568" s="1">
        <v>0</v>
      </c>
      <c r="AB568" s="1" t="s">
        <v>47</v>
      </c>
      <c r="AD568" s="1">
        <v>543480</v>
      </c>
      <c r="AF568" s="1" t="s">
        <v>47</v>
      </c>
      <c r="AG568" s="1" t="s">
        <v>47</v>
      </c>
      <c r="AH568" s="1" t="s">
        <v>49</v>
      </c>
      <c r="AI568" s="1" t="s">
        <v>47</v>
      </c>
      <c r="AK568" s="1" t="s">
        <v>48</v>
      </c>
      <c r="AL568" s="1" t="s">
        <v>1894</v>
      </c>
    </row>
    <row r="569" spans="1:38">
      <c r="A569" s="1">
        <v>5138153</v>
      </c>
      <c r="B569" s="1" t="s">
        <v>1895</v>
      </c>
      <c r="C569" s="1" t="str">
        <f>"9781292027654"</f>
        <v>9781292027654</v>
      </c>
      <c r="D569" s="1" t="str">
        <f>"9781292053806"</f>
        <v>9781292053806</v>
      </c>
      <c r="E569" s="1" t="s">
        <v>52</v>
      </c>
      <c r="F569" s="1" t="s">
        <v>40</v>
      </c>
      <c r="G569" s="3">
        <v>41512</v>
      </c>
      <c r="H569" s="3">
        <v>1</v>
      </c>
      <c r="I569" s="1" t="s">
        <v>41</v>
      </c>
      <c r="J569" s="1">
        <v>1</v>
      </c>
      <c r="L569" s="1" t="s">
        <v>1896</v>
      </c>
      <c r="M569" s="1" t="s">
        <v>242</v>
      </c>
      <c r="O569" s="1">
        <v>519.53599999999994</v>
      </c>
      <c r="Q569" s="1" t="s">
        <v>46</v>
      </c>
      <c r="R569" s="1" t="s">
        <v>47</v>
      </c>
      <c r="S569" s="1" t="s">
        <v>47</v>
      </c>
      <c r="T569" s="1" t="s">
        <v>48</v>
      </c>
      <c r="U569" s="1" t="s">
        <v>47</v>
      </c>
      <c r="V569" s="1" t="s">
        <v>47</v>
      </c>
      <c r="W569" s="1" t="s">
        <v>47</v>
      </c>
      <c r="Z569" s="1">
        <v>0</v>
      </c>
      <c r="AB569" s="1" t="s">
        <v>47</v>
      </c>
      <c r="AD569" s="1">
        <v>543490</v>
      </c>
      <c r="AF569" s="1" t="s">
        <v>47</v>
      </c>
      <c r="AG569" s="1" t="s">
        <v>47</v>
      </c>
      <c r="AH569" s="1" t="s">
        <v>49</v>
      </c>
      <c r="AI569" s="1" t="s">
        <v>47</v>
      </c>
      <c r="AK569" s="1" t="s">
        <v>48</v>
      </c>
      <c r="AL569" s="1" t="s">
        <v>1897</v>
      </c>
    </row>
    <row r="570" spans="1:38">
      <c r="A570" s="1">
        <v>5138155</v>
      </c>
      <c r="B570" s="1" t="s">
        <v>1898</v>
      </c>
      <c r="C570" s="1" t="str">
        <f>"9781292041612"</f>
        <v>9781292041612</v>
      </c>
      <c r="D570" s="1" t="str">
        <f>"9781292053820"</f>
        <v>9781292053820</v>
      </c>
      <c r="E570" s="1" t="s">
        <v>52</v>
      </c>
      <c r="F570" s="1" t="s">
        <v>40</v>
      </c>
      <c r="G570" s="3">
        <v>41579</v>
      </c>
      <c r="H570" s="3">
        <v>1</v>
      </c>
      <c r="I570" s="1" t="s">
        <v>41</v>
      </c>
      <c r="J570" s="1">
        <v>6</v>
      </c>
      <c r="L570" s="1" t="s">
        <v>1899</v>
      </c>
      <c r="M570" s="1" t="s">
        <v>54</v>
      </c>
      <c r="O570" s="1">
        <v>371.10199999999998</v>
      </c>
      <c r="Q570" s="1" t="s">
        <v>46</v>
      </c>
      <c r="R570" s="1" t="s">
        <v>47</v>
      </c>
      <c r="S570" s="1" t="s">
        <v>47</v>
      </c>
      <c r="T570" s="1" t="s">
        <v>48</v>
      </c>
      <c r="U570" s="1" t="s">
        <v>47</v>
      </c>
      <c r="V570" s="1" t="s">
        <v>47</v>
      </c>
      <c r="W570" s="1" t="s">
        <v>47</v>
      </c>
      <c r="Z570" s="1">
        <v>0</v>
      </c>
      <c r="AB570" s="1" t="s">
        <v>47</v>
      </c>
      <c r="AD570" s="1">
        <v>543504</v>
      </c>
      <c r="AF570" s="1" t="s">
        <v>47</v>
      </c>
      <c r="AG570" s="1" t="s">
        <v>47</v>
      </c>
      <c r="AH570" s="1" t="s">
        <v>49</v>
      </c>
      <c r="AI570" s="1" t="s">
        <v>47</v>
      </c>
      <c r="AK570" s="1" t="s">
        <v>48</v>
      </c>
      <c r="AL570" s="1" t="s">
        <v>1900</v>
      </c>
    </row>
    <row r="571" spans="1:38">
      <c r="A571" s="1">
        <v>5138159</v>
      </c>
      <c r="B571" s="1" t="s">
        <v>1112</v>
      </c>
      <c r="C571" s="1" t="str">
        <f>"9781292027807"</f>
        <v>9781292027807</v>
      </c>
      <c r="D571" s="1" t="str">
        <f>"9781292053844"</f>
        <v>9781292053844</v>
      </c>
      <c r="E571" s="1" t="s">
        <v>52</v>
      </c>
      <c r="F571" s="1" t="s">
        <v>40</v>
      </c>
      <c r="G571" s="3">
        <v>41579</v>
      </c>
      <c r="H571" s="3">
        <v>1</v>
      </c>
      <c r="I571" s="1" t="s">
        <v>41</v>
      </c>
      <c r="J571" s="1">
        <v>5</v>
      </c>
      <c r="L571" s="1" t="s">
        <v>1901</v>
      </c>
      <c r="M571" s="1" t="s">
        <v>372</v>
      </c>
      <c r="O571" s="1">
        <v>302</v>
      </c>
      <c r="Q571" s="1" t="s">
        <v>46</v>
      </c>
      <c r="R571" s="1" t="s">
        <v>47</v>
      </c>
      <c r="S571" s="1" t="s">
        <v>47</v>
      </c>
      <c r="T571" s="1" t="s">
        <v>48</v>
      </c>
      <c r="U571" s="1" t="s">
        <v>47</v>
      </c>
      <c r="V571" s="1" t="s">
        <v>47</v>
      </c>
      <c r="W571" s="1" t="s">
        <v>47</v>
      </c>
      <c r="Z571" s="1">
        <v>0</v>
      </c>
      <c r="AB571" s="1" t="s">
        <v>47</v>
      </c>
      <c r="AD571" s="1">
        <v>543337</v>
      </c>
      <c r="AF571" s="1" t="s">
        <v>47</v>
      </c>
      <c r="AG571" s="1" t="s">
        <v>47</v>
      </c>
      <c r="AH571" s="1" t="s">
        <v>49</v>
      </c>
      <c r="AI571" s="1" t="s">
        <v>47</v>
      </c>
      <c r="AK571" s="1" t="s">
        <v>48</v>
      </c>
      <c r="AL571" s="1" t="s">
        <v>1902</v>
      </c>
    </row>
    <row r="572" spans="1:38">
      <c r="A572" s="1">
        <v>5138167</v>
      </c>
      <c r="B572" s="1" t="s">
        <v>1903</v>
      </c>
      <c r="C572" s="1" t="str">
        <f>"9781292039213"</f>
        <v>9781292039213</v>
      </c>
      <c r="D572" s="1" t="str">
        <f>"9781292053851"</f>
        <v>9781292053851</v>
      </c>
      <c r="E572" s="1" t="s">
        <v>52</v>
      </c>
      <c r="F572" s="1" t="s">
        <v>40</v>
      </c>
      <c r="G572" s="3">
        <v>41579</v>
      </c>
      <c r="H572" s="3">
        <v>1</v>
      </c>
      <c r="I572" s="1" t="s">
        <v>41</v>
      </c>
      <c r="J572" s="1">
        <v>3</v>
      </c>
      <c r="L572" s="1" t="s">
        <v>1904</v>
      </c>
      <c r="Q572" s="1" t="s">
        <v>46</v>
      </c>
      <c r="R572" s="1" t="s">
        <v>47</v>
      </c>
      <c r="S572" s="1" t="s">
        <v>47</v>
      </c>
      <c r="T572" s="1" t="s">
        <v>48</v>
      </c>
      <c r="U572" s="1" t="s">
        <v>47</v>
      </c>
      <c r="V572" s="1" t="s">
        <v>47</v>
      </c>
      <c r="W572" s="1" t="s">
        <v>47</v>
      </c>
      <c r="Z572" s="1">
        <v>0</v>
      </c>
      <c r="AB572" s="1" t="s">
        <v>47</v>
      </c>
      <c r="AD572" s="1">
        <v>543646</v>
      </c>
      <c r="AF572" s="1" t="s">
        <v>47</v>
      </c>
      <c r="AG572" s="1" t="s">
        <v>47</v>
      </c>
      <c r="AH572" s="1" t="s">
        <v>49</v>
      </c>
      <c r="AI572" s="1" t="s">
        <v>47</v>
      </c>
      <c r="AK572" s="1" t="s">
        <v>48</v>
      </c>
      <c r="AL572" s="1" t="s">
        <v>1905</v>
      </c>
    </row>
    <row r="573" spans="1:38">
      <c r="A573" s="1">
        <v>5138180</v>
      </c>
      <c r="B573" s="1" t="s">
        <v>1906</v>
      </c>
      <c r="C573" s="1" t="str">
        <f>"9781292023946"</f>
        <v>9781292023946</v>
      </c>
      <c r="D573" s="1" t="str">
        <f>"9781292037042"</f>
        <v>9781292037042</v>
      </c>
      <c r="E573" s="1" t="s">
        <v>52</v>
      </c>
      <c r="F573" s="1" t="s">
        <v>40</v>
      </c>
      <c r="G573" s="3">
        <v>41455</v>
      </c>
      <c r="H573" s="3">
        <v>1</v>
      </c>
      <c r="I573" s="1" t="s">
        <v>41</v>
      </c>
      <c r="J573" s="1">
        <v>1</v>
      </c>
      <c r="L573" s="1" t="s">
        <v>1907</v>
      </c>
      <c r="M573" s="1" t="s">
        <v>556</v>
      </c>
      <c r="O573" s="1">
        <v>5.0999999999999996</v>
      </c>
      <c r="Q573" s="1" t="s">
        <v>46</v>
      </c>
      <c r="R573" s="1" t="s">
        <v>47</v>
      </c>
      <c r="S573" s="1" t="s">
        <v>47</v>
      </c>
      <c r="T573" s="1" t="s">
        <v>48</v>
      </c>
      <c r="U573" s="1" t="s">
        <v>47</v>
      </c>
      <c r="V573" s="1" t="s">
        <v>47</v>
      </c>
      <c r="W573" s="1" t="s">
        <v>47</v>
      </c>
      <c r="Z573" s="1">
        <v>0</v>
      </c>
      <c r="AB573" s="1" t="s">
        <v>47</v>
      </c>
      <c r="AF573" s="1" t="s">
        <v>47</v>
      </c>
      <c r="AG573" s="1" t="s">
        <v>47</v>
      </c>
      <c r="AH573" s="1" t="s">
        <v>49</v>
      </c>
      <c r="AI573" s="1" t="s">
        <v>47</v>
      </c>
      <c r="AK573" s="1" t="s">
        <v>48</v>
      </c>
      <c r="AL573" s="1" t="s">
        <v>1908</v>
      </c>
    </row>
    <row r="574" spans="1:38">
      <c r="A574" s="1">
        <v>5138182</v>
      </c>
      <c r="B574" s="1" t="s">
        <v>1909</v>
      </c>
      <c r="C574" s="1" t="str">
        <f>"9781292025612"</f>
        <v>9781292025612</v>
      </c>
      <c r="D574" s="1" t="str">
        <f>"9781292038049"</f>
        <v>9781292038049</v>
      </c>
      <c r="E574" s="1" t="s">
        <v>52</v>
      </c>
      <c r="F574" s="1" t="s">
        <v>40</v>
      </c>
      <c r="G574" s="3">
        <v>41537</v>
      </c>
      <c r="H574" s="3">
        <v>1</v>
      </c>
      <c r="I574" s="1" t="s">
        <v>41</v>
      </c>
      <c r="J574" s="1">
        <v>9</v>
      </c>
      <c r="L574" s="1" t="s">
        <v>1910</v>
      </c>
      <c r="M574" s="1" t="s">
        <v>280</v>
      </c>
      <c r="O574" s="1">
        <v>621.38099999999997</v>
      </c>
      <c r="Q574" s="1" t="s">
        <v>46</v>
      </c>
      <c r="R574" s="1" t="s">
        <v>47</v>
      </c>
      <c r="S574" s="1" t="s">
        <v>47</v>
      </c>
      <c r="T574" s="1" t="s">
        <v>48</v>
      </c>
      <c r="U574" s="1" t="s">
        <v>47</v>
      </c>
      <c r="V574" s="1" t="s">
        <v>47</v>
      </c>
      <c r="W574" s="1" t="s">
        <v>47</v>
      </c>
      <c r="Z574" s="1">
        <v>0</v>
      </c>
      <c r="AB574" s="1" t="s">
        <v>47</v>
      </c>
      <c r="AD574" s="1">
        <v>527361</v>
      </c>
      <c r="AF574" s="1" t="s">
        <v>47</v>
      </c>
      <c r="AG574" s="1" t="s">
        <v>47</v>
      </c>
      <c r="AH574" s="1" t="s">
        <v>49</v>
      </c>
      <c r="AI574" s="1" t="s">
        <v>47</v>
      </c>
      <c r="AK574" s="1" t="s">
        <v>48</v>
      </c>
      <c r="AL574" s="1" t="s">
        <v>1911</v>
      </c>
    </row>
    <row r="575" spans="1:38">
      <c r="A575" s="1">
        <v>5138186</v>
      </c>
      <c r="B575" s="1" t="s">
        <v>1912</v>
      </c>
      <c r="C575" s="1" t="str">
        <f>"9781292020785"</f>
        <v>9781292020785</v>
      </c>
      <c r="D575" s="1" t="str">
        <f>"9781292034034"</f>
        <v>9781292034034</v>
      </c>
      <c r="E575" s="1" t="s">
        <v>52</v>
      </c>
      <c r="F575" s="1" t="s">
        <v>40</v>
      </c>
      <c r="G575" s="3">
        <v>41484</v>
      </c>
      <c r="H575" s="3">
        <v>1</v>
      </c>
      <c r="I575" s="1" t="s">
        <v>41</v>
      </c>
      <c r="J575" s="1">
        <v>3</v>
      </c>
      <c r="L575" s="1" t="s">
        <v>1913</v>
      </c>
      <c r="M575" s="1" t="s">
        <v>1633</v>
      </c>
      <c r="O575" s="1">
        <v>530</v>
      </c>
      <c r="Q575" s="1" t="s">
        <v>46</v>
      </c>
      <c r="R575" s="1" t="s">
        <v>47</v>
      </c>
      <c r="S575" s="1" t="s">
        <v>47</v>
      </c>
      <c r="T575" s="1" t="s">
        <v>48</v>
      </c>
      <c r="U575" s="1" t="s">
        <v>47</v>
      </c>
      <c r="V575" s="1" t="s">
        <v>47</v>
      </c>
      <c r="W575" s="1" t="s">
        <v>47</v>
      </c>
      <c r="Z575" s="1">
        <v>0</v>
      </c>
      <c r="AB575" s="1" t="s">
        <v>47</v>
      </c>
      <c r="AD575" s="1">
        <v>526963</v>
      </c>
      <c r="AF575" s="1" t="s">
        <v>47</v>
      </c>
      <c r="AG575" s="1" t="s">
        <v>47</v>
      </c>
      <c r="AH575" s="1" t="s">
        <v>49</v>
      </c>
      <c r="AI575" s="1" t="s">
        <v>47</v>
      </c>
      <c r="AK575" s="1" t="s">
        <v>48</v>
      </c>
      <c r="AL575" s="1" t="s">
        <v>1914</v>
      </c>
    </row>
    <row r="576" spans="1:38">
      <c r="A576" s="1">
        <v>5138187</v>
      </c>
      <c r="B576" s="1" t="s">
        <v>1915</v>
      </c>
      <c r="C576" s="1" t="str">
        <f>"9781292040493"</f>
        <v>9781292040493</v>
      </c>
      <c r="D576" s="1" t="str">
        <f>"9781292053936"</f>
        <v>9781292053936</v>
      </c>
      <c r="E576" s="1" t="s">
        <v>52</v>
      </c>
      <c r="F576" s="1" t="s">
        <v>40</v>
      </c>
      <c r="G576" s="3">
        <v>41579</v>
      </c>
      <c r="H576" s="3">
        <v>1</v>
      </c>
      <c r="I576" s="1" t="s">
        <v>41</v>
      </c>
      <c r="J576" s="1">
        <v>3</v>
      </c>
      <c r="L576" s="1" t="s">
        <v>1913</v>
      </c>
      <c r="M576" s="1" t="s">
        <v>1639</v>
      </c>
      <c r="O576" s="1">
        <v>530</v>
      </c>
      <c r="Q576" s="1" t="s">
        <v>46</v>
      </c>
      <c r="R576" s="1" t="s">
        <v>47</v>
      </c>
      <c r="S576" s="1" t="s">
        <v>47</v>
      </c>
      <c r="T576" s="1" t="s">
        <v>48</v>
      </c>
      <c r="U576" s="1" t="s">
        <v>47</v>
      </c>
      <c r="V576" s="1" t="s">
        <v>47</v>
      </c>
      <c r="W576" s="1" t="s">
        <v>47</v>
      </c>
      <c r="Z576" s="1">
        <v>0</v>
      </c>
      <c r="AB576" s="1" t="s">
        <v>47</v>
      </c>
      <c r="AD576" s="1">
        <v>543641</v>
      </c>
      <c r="AF576" s="1" t="s">
        <v>47</v>
      </c>
      <c r="AG576" s="1" t="s">
        <v>47</v>
      </c>
      <c r="AH576" s="1" t="s">
        <v>49</v>
      </c>
      <c r="AI576" s="1" t="s">
        <v>47</v>
      </c>
      <c r="AK576" s="1" t="s">
        <v>48</v>
      </c>
      <c r="AL576" s="1" t="s">
        <v>1916</v>
      </c>
    </row>
    <row r="577" spans="1:38">
      <c r="A577" s="1">
        <v>5138189</v>
      </c>
      <c r="B577" s="1" t="s">
        <v>1917</v>
      </c>
      <c r="C577" s="1" t="str">
        <f>"9781292039657"</f>
        <v>9781292039657</v>
      </c>
      <c r="D577" s="1" t="str">
        <f>"9781292053950"</f>
        <v>9781292053950</v>
      </c>
      <c r="E577" s="1" t="s">
        <v>52</v>
      </c>
      <c r="F577" s="1" t="s">
        <v>40</v>
      </c>
      <c r="G577" s="3">
        <v>41579</v>
      </c>
      <c r="H577" s="3">
        <v>1</v>
      </c>
      <c r="I577" s="1" t="s">
        <v>41</v>
      </c>
      <c r="J577" s="1">
        <v>2</v>
      </c>
      <c r="L577" s="1" t="s">
        <v>1918</v>
      </c>
      <c r="M577" s="1" t="s">
        <v>1633</v>
      </c>
      <c r="O577" s="1">
        <v>530</v>
      </c>
      <c r="Q577" s="1" t="s">
        <v>46</v>
      </c>
      <c r="R577" s="1" t="s">
        <v>47</v>
      </c>
      <c r="S577" s="1" t="s">
        <v>47</v>
      </c>
      <c r="T577" s="1" t="s">
        <v>48</v>
      </c>
      <c r="U577" s="1" t="s">
        <v>47</v>
      </c>
      <c r="V577" s="1" t="s">
        <v>47</v>
      </c>
      <c r="W577" s="1" t="s">
        <v>47</v>
      </c>
      <c r="Z577" s="1">
        <v>0</v>
      </c>
      <c r="AB577" s="1" t="s">
        <v>47</v>
      </c>
      <c r="AD577" s="1">
        <v>543347</v>
      </c>
      <c r="AF577" s="1" t="s">
        <v>47</v>
      </c>
      <c r="AG577" s="1" t="s">
        <v>47</v>
      </c>
      <c r="AH577" s="1" t="s">
        <v>49</v>
      </c>
      <c r="AI577" s="1" t="s">
        <v>47</v>
      </c>
      <c r="AK577" s="1" t="s">
        <v>48</v>
      </c>
      <c r="AL577" s="1" t="s">
        <v>1919</v>
      </c>
    </row>
    <row r="578" spans="1:38">
      <c r="A578" s="1">
        <v>5138190</v>
      </c>
      <c r="B578" s="1" t="s">
        <v>1917</v>
      </c>
      <c r="C578" s="1" t="str">
        <f>"9781292039626"</f>
        <v>9781292039626</v>
      </c>
      <c r="D578" s="1" t="str">
        <f>"9781292053943"</f>
        <v>9781292053943</v>
      </c>
      <c r="E578" s="1" t="s">
        <v>52</v>
      </c>
      <c r="F578" s="1" t="s">
        <v>40</v>
      </c>
      <c r="G578" s="3">
        <v>41579</v>
      </c>
      <c r="H578" s="3">
        <v>1</v>
      </c>
      <c r="I578" s="1" t="s">
        <v>41</v>
      </c>
      <c r="J578" s="1">
        <v>2</v>
      </c>
      <c r="L578" s="1" t="s">
        <v>1918</v>
      </c>
      <c r="M578" s="1" t="s">
        <v>1633</v>
      </c>
      <c r="O578" s="1">
        <v>530</v>
      </c>
      <c r="Q578" s="1" t="s">
        <v>46</v>
      </c>
      <c r="R578" s="1" t="s">
        <v>47</v>
      </c>
      <c r="S578" s="1" t="s">
        <v>47</v>
      </c>
      <c r="T578" s="1" t="s">
        <v>48</v>
      </c>
      <c r="U578" s="1" t="s">
        <v>47</v>
      </c>
      <c r="V578" s="1" t="s">
        <v>47</v>
      </c>
      <c r="W578" s="1" t="s">
        <v>47</v>
      </c>
      <c r="Z578" s="1">
        <v>0</v>
      </c>
      <c r="AB578" s="1" t="s">
        <v>47</v>
      </c>
      <c r="AD578" s="1">
        <v>543550</v>
      </c>
      <c r="AF578" s="1" t="s">
        <v>47</v>
      </c>
      <c r="AG578" s="1" t="s">
        <v>47</v>
      </c>
      <c r="AH578" s="1" t="s">
        <v>49</v>
      </c>
      <c r="AI578" s="1" t="s">
        <v>47</v>
      </c>
      <c r="AK578" s="1" t="s">
        <v>48</v>
      </c>
      <c r="AL578" s="1" t="s">
        <v>1920</v>
      </c>
    </row>
    <row r="579" spans="1:38">
      <c r="A579" s="1">
        <v>5138197</v>
      </c>
      <c r="B579" s="1" t="s">
        <v>1921</v>
      </c>
      <c r="C579" s="1" t="str">
        <f>"9781292024844"</f>
        <v>9781292024844</v>
      </c>
      <c r="D579" s="1" t="str">
        <f>"9781292037509"</f>
        <v>9781292037509</v>
      </c>
      <c r="E579" s="1" t="s">
        <v>52</v>
      </c>
      <c r="F579" s="1" t="s">
        <v>40</v>
      </c>
      <c r="G579" s="3">
        <v>41478</v>
      </c>
      <c r="H579" s="3">
        <v>1</v>
      </c>
      <c r="I579" s="1" t="s">
        <v>41</v>
      </c>
      <c r="J579" s="1">
        <v>6</v>
      </c>
      <c r="L579" s="1" t="s">
        <v>1922</v>
      </c>
      <c r="M579" s="1" t="s">
        <v>242</v>
      </c>
      <c r="O579" s="1">
        <v>511.1</v>
      </c>
      <c r="Q579" s="1" t="s">
        <v>46</v>
      </c>
      <c r="R579" s="1" t="s">
        <v>47</v>
      </c>
      <c r="S579" s="1" t="s">
        <v>47</v>
      </c>
      <c r="T579" s="1" t="s">
        <v>48</v>
      </c>
      <c r="U579" s="1" t="s">
        <v>47</v>
      </c>
      <c r="V579" s="1" t="s">
        <v>47</v>
      </c>
      <c r="W579" s="1" t="s">
        <v>47</v>
      </c>
      <c r="Z579" s="1">
        <v>0</v>
      </c>
      <c r="AB579" s="1" t="s">
        <v>47</v>
      </c>
      <c r="AD579" s="1">
        <v>527237</v>
      </c>
      <c r="AF579" s="1" t="s">
        <v>47</v>
      </c>
      <c r="AG579" s="1" t="s">
        <v>47</v>
      </c>
      <c r="AH579" s="1" t="s">
        <v>49</v>
      </c>
      <c r="AI579" s="1" t="s">
        <v>47</v>
      </c>
      <c r="AK579" s="1" t="s">
        <v>48</v>
      </c>
      <c r="AL579" s="1" t="s">
        <v>1923</v>
      </c>
    </row>
    <row r="580" spans="1:38">
      <c r="A580" s="1">
        <v>5138198</v>
      </c>
      <c r="B580" s="1" t="s">
        <v>1924</v>
      </c>
      <c r="C580" s="1" t="str">
        <f>"9781292023656"</f>
        <v>9781292023656</v>
      </c>
      <c r="D580" s="1" t="str">
        <f>"9781292036809"</f>
        <v>9781292036809</v>
      </c>
      <c r="E580" s="1" t="s">
        <v>52</v>
      </c>
      <c r="F580" s="1" t="s">
        <v>40</v>
      </c>
      <c r="G580" s="3">
        <v>41478</v>
      </c>
      <c r="H580" s="3">
        <v>1</v>
      </c>
      <c r="I580" s="1" t="s">
        <v>41</v>
      </c>
      <c r="J580" s="1">
        <v>9</v>
      </c>
      <c r="L580" s="1" t="s">
        <v>1925</v>
      </c>
      <c r="M580" s="1" t="s">
        <v>242</v>
      </c>
      <c r="O580" s="1">
        <v>512.5</v>
      </c>
      <c r="Q580" s="1" t="s">
        <v>46</v>
      </c>
      <c r="R580" s="1" t="s">
        <v>47</v>
      </c>
      <c r="S580" s="1" t="s">
        <v>47</v>
      </c>
      <c r="T580" s="1" t="s">
        <v>48</v>
      </c>
      <c r="U580" s="1" t="s">
        <v>47</v>
      </c>
      <c r="V580" s="1" t="s">
        <v>47</v>
      </c>
      <c r="W580" s="1" t="s">
        <v>47</v>
      </c>
      <c r="Z580" s="1">
        <v>0</v>
      </c>
      <c r="AB580" s="1" t="s">
        <v>47</v>
      </c>
      <c r="AD580" s="1">
        <v>527412</v>
      </c>
      <c r="AF580" s="1" t="s">
        <v>47</v>
      </c>
      <c r="AG580" s="1" t="s">
        <v>47</v>
      </c>
      <c r="AH580" s="1" t="s">
        <v>49</v>
      </c>
      <c r="AI580" s="1" t="s">
        <v>47</v>
      </c>
      <c r="AK580" s="1" t="s">
        <v>48</v>
      </c>
      <c r="AL580" s="1" t="s">
        <v>1926</v>
      </c>
    </row>
    <row r="581" spans="1:38">
      <c r="A581" s="1">
        <v>5138199</v>
      </c>
      <c r="B581" s="1" t="s">
        <v>1927</v>
      </c>
      <c r="C581" s="1" t="str">
        <f>"9781292042527"</f>
        <v>9781292042527</v>
      </c>
      <c r="D581" s="1" t="str">
        <f>"9781292056227"</f>
        <v>9781292056227</v>
      </c>
      <c r="E581" s="1" t="s">
        <v>52</v>
      </c>
      <c r="F581" s="1" t="s">
        <v>40</v>
      </c>
      <c r="G581" s="3">
        <v>41579</v>
      </c>
      <c r="H581" s="3">
        <v>1</v>
      </c>
      <c r="I581" s="1" t="s">
        <v>41</v>
      </c>
      <c r="J581" s="1">
        <v>1</v>
      </c>
      <c r="L581" s="1" t="s">
        <v>1928</v>
      </c>
      <c r="M581" s="1" t="s">
        <v>100</v>
      </c>
      <c r="O581" s="1">
        <v>150</v>
      </c>
      <c r="Q581" s="1" t="s">
        <v>46</v>
      </c>
      <c r="R581" s="1" t="s">
        <v>47</v>
      </c>
      <c r="S581" s="1" t="s">
        <v>47</v>
      </c>
      <c r="T581" s="1" t="s">
        <v>48</v>
      </c>
      <c r="U581" s="1" t="s">
        <v>47</v>
      </c>
      <c r="V581" s="1" t="s">
        <v>47</v>
      </c>
      <c r="W581" s="1" t="s">
        <v>47</v>
      </c>
      <c r="Z581" s="1">
        <v>0</v>
      </c>
      <c r="AB581" s="1" t="s">
        <v>47</v>
      </c>
      <c r="AD581" s="1">
        <v>543574</v>
      </c>
      <c r="AF581" s="1" t="s">
        <v>47</v>
      </c>
      <c r="AG581" s="1" t="s">
        <v>47</v>
      </c>
      <c r="AH581" s="1" t="s">
        <v>49</v>
      </c>
      <c r="AI581" s="1" t="s">
        <v>47</v>
      </c>
      <c r="AK581" s="1" t="s">
        <v>48</v>
      </c>
      <c r="AL581" s="1" t="s">
        <v>1929</v>
      </c>
    </row>
    <row r="582" spans="1:38">
      <c r="A582" s="1">
        <v>5138200</v>
      </c>
      <c r="B582" s="1" t="s">
        <v>1930</v>
      </c>
      <c r="C582" s="1" t="str">
        <f>"9781292041650"</f>
        <v>9781292041650</v>
      </c>
      <c r="D582" s="1" t="str">
        <f>"9781292053981"</f>
        <v>9781292053981</v>
      </c>
      <c r="E582" s="1" t="s">
        <v>52</v>
      </c>
      <c r="F582" s="1" t="s">
        <v>40</v>
      </c>
      <c r="G582" s="3">
        <v>41579</v>
      </c>
      <c r="H582" s="3">
        <v>1</v>
      </c>
      <c r="I582" s="1" t="s">
        <v>41</v>
      </c>
      <c r="J582" s="1">
        <v>5</v>
      </c>
      <c r="L582" s="1" t="s">
        <v>1931</v>
      </c>
      <c r="M582" s="1" t="s">
        <v>54</v>
      </c>
      <c r="O582" s="1">
        <v>372.21</v>
      </c>
      <c r="Q582" s="1" t="s">
        <v>46</v>
      </c>
      <c r="R582" s="1" t="s">
        <v>47</v>
      </c>
      <c r="S582" s="1" t="s">
        <v>47</v>
      </c>
      <c r="T582" s="1" t="s">
        <v>48</v>
      </c>
      <c r="U582" s="1" t="s">
        <v>47</v>
      </c>
      <c r="V582" s="1" t="s">
        <v>47</v>
      </c>
      <c r="W582" s="1" t="s">
        <v>47</v>
      </c>
      <c r="Z582" s="1">
        <v>0</v>
      </c>
      <c r="AB582" s="1" t="s">
        <v>47</v>
      </c>
      <c r="AD582" s="1">
        <v>543488</v>
      </c>
      <c r="AF582" s="1" t="s">
        <v>47</v>
      </c>
      <c r="AG582" s="1" t="s">
        <v>47</v>
      </c>
      <c r="AH582" s="1" t="s">
        <v>49</v>
      </c>
      <c r="AI582" s="1" t="s">
        <v>47</v>
      </c>
      <c r="AK582" s="1" t="s">
        <v>48</v>
      </c>
      <c r="AL582" s="1" t="s">
        <v>1932</v>
      </c>
    </row>
    <row r="583" spans="1:38">
      <c r="A583" s="1">
        <v>5138206</v>
      </c>
      <c r="B583" s="1" t="s">
        <v>1933</v>
      </c>
      <c r="C583" s="1" t="str">
        <f>"9781292020037"</f>
        <v>9781292020037</v>
      </c>
      <c r="D583" s="1" t="str">
        <f>"9781292033556"</f>
        <v>9781292033556</v>
      </c>
      <c r="E583" s="1" t="s">
        <v>52</v>
      </c>
      <c r="F583" s="1" t="s">
        <v>40</v>
      </c>
      <c r="G583" s="3">
        <v>41513</v>
      </c>
      <c r="H583" s="3">
        <v>1</v>
      </c>
      <c r="I583" s="1" t="s">
        <v>41</v>
      </c>
      <c r="J583" s="1">
        <v>6</v>
      </c>
      <c r="L583" s="1" t="s">
        <v>1934</v>
      </c>
      <c r="Q583" s="1" t="s">
        <v>46</v>
      </c>
      <c r="R583" s="1" t="s">
        <v>47</v>
      </c>
      <c r="S583" s="1" t="s">
        <v>47</v>
      </c>
      <c r="T583" s="1" t="s">
        <v>48</v>
      </c>
      <c r="U583" s="1" t="s">
        <v>47</v>
      </c>
      <c r="V583" s="1" t="s">
        <v>47</v>
      </c>
      <c r="W583" s="1" t="s">
        <v>47</v>
      </c>
      <c r="Z583" s="1">
        <v>0</v>
      </c>
      <c r="AB583" s="1" t="s">
        <v>47</v>
      </c>
      <c r="AD583" s="1">
        <v>527100</v>
      </c>
      <c r="AF583" s="1" t="s">
        <v>47</v>
      </c>
      <c r="AG583" s="1" t="s">
        <v>47</v>
      </c>
      <c r="AH583" s="1" t="s">
        <v>49</v>
      </c>
      <c r="AI583" s="1" t="s">
        <v>47</v>
      </c>
      <c r="AK583" s="1" t="s">
        <v>48</v>
      </c>
      <c r="AL583" s="1" t="s">
        <v>1935</v>
      </c>
    </row>
    <row r="584" spans="1:38">
      <c r="A584" s="1">
        <v>5138211</v>
      </c>
      <c r="B584" s="1" t="s">
        <v>1936</v>
      </c>
      <c r="C584" s="1" t="str">
        <f>"9781292026275"</f>
        <v>9781292026275</v>
      </c>
      <c r="D584" s="1" t="str">
        <f>"9781292038667"</f>
        <v>9781292038667</v>
      </c>
      <c r="E584" s="1" t="s">
        <v>52</v>
      </c>
      <c r="F584" s="1" t="s">
        <v>40</v>
      </c>
      <c r="G584" s="3">
        <v>41478</v>
      </c>
      <c r="H584" s="3">
        <v>1</v>
      </c>
      <c r="I584" s="1" t="s">
        <v>41</v>
      </c>
      <c r="J584" s="1">
        <v>6</v>
      </c>
      <c r="L584" s="1" t="s">
        <v>1937</v>
      </c>
      <c r="M584" s="1" t="s">
        <v>1010</v>
      </c>
      <c r="O584" s="1">
        <v>577</v>
      </c>
      <c r="Q584" s="1" t="s">
        <v>46</v>
      </c>
      <c r="R584" s="1" t="s">
        <v>47</v>
      </c>
      <c r="S584" s="1" t="s">
        <v>47</v>
      </c>
      <c r="T584" s="1" t="s">
        <v>48</v>
      </c>
      <c r="U584" s="1" t="s">
        <v>47</v>
      </c>
      <c r="V584" s="1" t="s">
        <v>47</v>
      </c>
      <c r="W584" s="1" t="s">
        <v>47</v>
      </c>
      <c r="Z584" s="1">
        <v>0</v>
      </c>
      <c r="AB584" s="1" t="s">
        <v>47</v>
      </c>
      <c r="AD584" s="1">
        <v>527366</v>
      </c>
      <c r="AF584" s="1" t="s">
        <v>47</v>
      </c>
      <c r="AG584" s="1" t="s">
        <v>47</v>
      </c>
      <c r="AH584" s="1" t="s">
        <v>49</v>
      </c>
      <c r="AI584" s="1" t="s">
        <v>47</v>
      </c>
      <c r="AK584" s="1" t="s">
        <v>48</v>
      </c>
      <c r="AL584" s="1" t="s">
        <v>1938</v>
      </c>
    </row>
    <row r="585" spans="1:38">
      <c r="A585" s="1">
        <v>5138229</v>
      </c>
      <c r="B585" s="1" t="s">
        <v>1939</v>
      </c>
      <c r="C585" s="1" t="str">
        <f>""</f>
        <v/>
      </c>
      <c r="D585" s="1" t="str">
        <f>"9780273775638"</f>
        <v>9780273775638</v>
      </c>
      <c r="E585" s="1" t="s">
        <v>52</v>
      </c>
      <c r="F585" s="1" t="s">
        <v>365</v>
      </c>
      <c r="G585" s="3">
        <v>41353</v>
      </c>
      <c r="H585" s="3">
        <v>1</v>
      </c>
      <c r="I585" s="1" t="s">
        <v>41</v>
      </c>
      <c r="J585" s="1">
        <v>6</v>
      </c>
      <c r="L585" s="1" t="s">
        <v>1940</v>
      </c>
      <c r="Q585" s="1" t="s">
        <v>46</v>
      </c>
      <c r="R585" s="1" t="s">
        <v>47</v>
      </c>
      <c r="S585" s="1" t="s">
        <v>47</v>
      </c>
      <c r="T585" s="1" t="s">
        <v>48</v>
      </c>
      <c r="U585" s="1" t="s">
        <v>47</v>
      </c>
      <c r="V585" s="1" t="s">
        <v>47</v>
      </c>
      <c r="W585" s="1" t="s">
        <v>47</v>
      </c>
      <c r="Z585" s="1">
        <v>0</v>
      </c>
      <c r="AB585" s="1" t="s">
        <v>47</v>
      </c>
      <c r="AD585" s="1">
        <v>469810</v>
      </c>
      <c r="AF585" s="1" t="s">
        <v>47</v>
      </c>
      <c r="AG585" s="1" t="s">
        <v>47</v>
      </c>
      <c r="AH585" s="1" t="s">
        <v>49</v>
      </c>
      <c r="AI585" s="1" t="s">
        <v>47</v>
      </c>
      <c r="AK585" s="1" t="s">
        <v>48</v>
      </c>
      <c r="AL585" s="1" t="s">
        <v>1941</v>
      </c>
    </row>
    <row r="586" spans="1:38">
      <c r="A586" s="1">
        <v>5138233</v>
      </c>
      <c r="B586" s="1" t="s">
        <v>1942</v>
      </c>
      <c r="C586" s="1" t="str">
        <f>"9780273743873"</f>
        <v>9780273743873</v>
      </c>
      <c r="D586" s="1" t="str">
        <f>"9780273756224"</f>
        <v>9780273756224</v>
      </c>
      <c r="E586" s="1" t="s">
        <v>52</v>
      </c>
      <c r="F586" s="1" t="s">
        <v>157</v>
      </c>
      <c r="G586" s="3">
        <v>40634</v>
      </c>
      <c r="H586" s="3">
        <v>1</v>
      </c>
      <c r="I586" s="1" t="s">
        <v>41</v>
      </c>
      <c r="J586" s="1">
        <v>1</v>
      </c>
      <c r="L586" s="1" t="s">
        <v>1943</v>
      </c>
      <c r="M586" s="1" t="s">
        <v>242</v>
      </c>
      <c r="N586" s="1" t="s">
        <v>1944</v>
      </c>
      <c r="O586" s="1">
        <v>519.5</v>
      </c>
      <c r="P586" s="1" t="s">
        <v>1945</v>
      </c>
      <c r="Q586" s="1" t="s">
        <v>46</v>
      </c>
      <c r="R586" s="1" t="s">
        <v>47</v>
      </c>
      <c r="S586" s="1" t="s">
        <v>47</v>
      </c>
      <c r="T586" s="1" t="s">
        <v>48</v>
      </c>
      <c r="U586" s="1" t="s">
        <v>47</v>
      </c>
      <c r="V586" s="1" t="s">
        <v>47</v>
      </c>
      <c r="W586" s="1" t="s">
        <v>47</v>
      </c>
      <c r="Z586" s="1">
        <v>0</v>
      </c>
      <c r="AB586" s="1" t="s">
        <v>47</v>
      </c>
      <c r="AD586" s="1">
        <v>404619</v>
      </c>
      <c r="AF586" s="1" t="s">
        <v>47</v>
      </c>
      <c r="AG586" s="1" t="s">
        <v>47</v>
      </c>
      <c r="AH586" s="1" t="s">
        <v>49</v>
      </c>
      <c r="AI586" s="1" t="s">
        <v>47</v>
      </c>
      <c r="AK586" s="1" t="s">
        <v>48</v>
      </c>
      <c r="AL586" s="1" t="s">
        <v>1946</v>
      </c>
    </row>
    <row r="587" spans="1:38">
      <c r="A587" s="1">
        <v>5138235</v>
      </c>
      <c r="B587" s="1" t="s">
        <v>1947</v>
      </c>
      <c r="C587" s="1" t="str">
        <f>"9781292025810"</f>
        <v>9781292025810</v>
      </c>
      <c r="D587" s="1" t="str">
        <f>"9781292038230"</f>
        <v>9781292038230</v>
      </c>
      <c r="E587" s="1" t="s">
        <v>52</v>
      </c>
      <c r="F587" s="1" t="s">
        <v>40</v>
      </c>
      <c r="G587" s="3">
        <v>41472</v>
      </c>
      <c r="H587" s="3">
        <v>1</v>
      </c>
      <c r="I587" s="1" t="s">
        <v>41</v>
      </c>
      <c r="J587" s="1">
        <v>3</v>
      </c>
      <c r="L587" s="1" t="s">
        <v>1948</v>
      </c>
      <c r="M587" s="1" t="s">
        <v>1191</v>
      </c>
      <c r="O587" s="1">
        <v>621.48</v>
      </c>
      <c r="Q587" s="1" t="s">
        <v>46</v>
      </c>
      <c r="R587" s="1" t="s">
        <v>47</v>
      </c>
      <c r="S587" s="1" t="s">
        <v>47</v>
      </c>
      <c r="T587" s="1" t="s">
        <v>48</v>
      </c>
      <c r="U587" s="1" t="s">
        <v>47</v>
      </c>
      <c r="V587" s="1" t="s">
        <v>47</v>
      </c>
      <c r="W587" s="1" t="s">
        <v>47</v>
      </c>
      <c r="Z587" s="1">
        <v>0</v>
      </c>
      <c r="AB587" s="1" t="s">
        <v>47</v>
      </c>
      <c r="AD587" s="1">
        <v>527225</v>
      </c>
      <c r="AF587" s="1" t="s">
        <v>47</v>
      </c>
      <c r="AG587" s="1" t="s">
        <v>47</v>
      </c>
      <c r="AH587" s="1" t="s">
        <v>49</v>
      </c>
      <c r="AI587" s="1" t="s">
        <v>47</v>
      </c>
      <c r="AK587" s="1" t="s">
        <v>48</v>
      </c>
      <c r="AL587" s="1" t="s">
        <v>1949</v>
      </c>
    </row>
    <row r="588" spans="1:38">
      <c r="A588" s="1">
        <v>5138236</v>
      </c>
      <c r="B588" s="1" t="s">
        <v>1950</v>
      </c>
      <c r="C588" s="1" t="str">
        <f>"9781292039565"</f>
        <v>9781292039565</v>
      </c>
      <c r="D588" s="1" t="str">
        <f>"9781292054056"</f>
        <v>9781292054056</v>
      </c>
      <c r="E588" s="1" t="s">
        <v>52</v>
      </c>
      <c r="F588" s="1" t="s">
        <v>40</v>
      </c>
      <c r="G588" s="3">
        <v>41579</v>
      </c>
      <c r="H588" s="3">
        <v>1</v>
      </c>
      <c r="I588" s="1" t="s">
        <v>41</v>
      </c>
      <c r="J588" s="1">
        <v>2</v>
      </c>
      <c r="L588" s="1" t="s">
        <v>1951</v>
      </c>
      <c r="M588" s="1" t="s">
        <v>414</v>
      </c>
      <c r="O588" s="1">
        <v>543.5</v>
      </c>
      <c r="Q588" s="1" t="s">
        <v>46</v>
      </c>
      <c r="R588" s="1" t="s">
        <v>47</v>
      </c>
      <c r="S588" s="1" t="s">
        <v>47</v>
      </c>
      <c r="T588" s="1" t="s">
        <v>48</v>
      </c>
      <c r="U588" s="1" t="s">
        <v>47</v>
      </c>
      <c r="V588" s="1" t="s">
        <v>47</v>
      </c>
      <c r="W588" s="1" t="s">
        <v>47</v>
      </c>
      <c r="Z588" s="1">
        <v>0</v>
      </c>
      <c r="AB588" s="1" t="s">
        <v>47</v>
      </c>
      <c r="AD588" s="1">
        <v>543552</v>
      </c>
      <c r="AF588" s="1" t="s">
        <v>47</v>
      </c>
      <c r="AG588" s="1" t="s">
        <v>47</v>
      </c>
      <c r="AH588" s="1" t="s">
        <v>49</v>
      </c>
      <c r="AI588" s="1" t="s">
        <v>47</v>
      </c>
      <c r="AK588" s="1" t="s">
        <v>48</v>
      </c>
      <c r="AL588" s="1" t="s">
        <v>1952</v>
      </c>
    </row>
    <row r="589" spans="1:38">
      <c r="A589" s="1">
        <v>5138239</v>
      </c>
      <c r="B589" s="1" t="s">
        <v>1953</v>
      </c>
      <c r="C589" s="1" t="str">
        <f>"9780273756873"</f>
        <v>9780273756873</v>
      </c>
      <c r="D589" s="1" t="str">
        <f>"9780273756880"</f>
        <v>9780273756880</v>
      </c>
      <c r="E589" s="1" t="s">
        <v>52</v>
      </c>
      <c r="F589" s="1" t="s">
        <v>40</v>
      </c>
      <c r="G589" s="3">
        <v>41452</v>
      </c>
      <c r="H589" s="3">
        <v>1</v>
      </c>
      <c r="I589" s="1" t="s">
        <v>41</v>
      </c>
      <c r="J589" s="1">
        <v>3</v>
      </c>
      <c r="L589" s="1" t="s">
        <v>1954</v>
      </c>
      <c r="M589" s="1" t="s">
        <v>100</v>
      </c>
      <c r="N589" s="1" t="s">
        <v>224</v>
      </c>
      <c r="O589" s="1">
        <v>150.721</v>
      </c>
      <c r="Q589" s="1" t="s">
        <v>46</v>
      </c>
      <c r="R589" s="1" t="s">
        <v>47</v>
      </c>
      <c r="S589" s="1" t="s">
        <v>47</v>
      </c>
      <c r="T589" s="1" t="s">
        <v>48</v>
      </c>
      <c r="U589" s="1" t="s">
        <v>47</v>
      </c>
      <c r="V589" s="1" t="s">
        <v>47</v>
      </c>
      <c r="W589" s="1" t="s">
        <v>47</v>
      </c>
      <c r="Z589" s="1">
        <v>0</v>
      </c>
      <c r="AB589" s="1" t="s">
        <v>47</v>
      </c>
      <c r="AD589" s="1">
        <v>485114</v>
      </c>
      <c r="AF589" s="1" t="s">
        <v>47</v>
      </c>
      <c r="AG589" s="1" t="s">
        <v>47</v>
      </c>
      <c r="AH589" s="1" t="s">
        <v>49</v>
      </c>
      <c r="AI589" s="1" t="s">
        <v>47</v>
      </c>
      <c r="AK589" s="1" t="s">
        <v>48</v>
      </c>
      <c r="AL589" s="1" t="s">
        <v>1955</v>
      </c>
    </row>
    <row r="590" spans="1:38">
      <c r="A590" s="1">
        <v>5138244</v>
      </c>
      <c r="B590" s="1" t="s">
        <v>1956</v>
      </c>
      <c r="C590" s="1" t="str">
        <f>"9781292023557"</f>
        <v>9781292023557</v>
      </c>
      <c r="D590" s="1" t="str">
        <f>"9781292036724"</f>
        <v>9781292036724</v>
      </c>
      <c r="E590" s="1" t="s">
        <v>52</v>
      </c>
      <c r="F590" s="1" t="s">
        <v>40</v>
      </c>
      <c r="G590" s="3">
        <v>41484</v>
      </c>
      <c r="H590" s="3">
        <v>1</v>
      </c>
      <c r="I590" s="1" t="s">
        <v>41</v>
      </c>
      <c r="J590" s="1">
        <v>5</v>
      </c>
      <c r="L590" s="1" t="s">
        <v>1957</v>
      </c>
      <c r="M590" s="1" t="s">
        <v>242</v>
      </c>
      <c r="O590" s="1">
        <v>519.5</v>
      </c>
      <c r="Q590" s="1" t="s">
        <v>46</v>
      </c>
      <c r="R590" s="1" t="s">
        <v>47</v>
      </c>
      <c r="S590" s="1" t="s">
        <v>47</v>
      </c>
      <c r="T590" s="1" t="s">
        <v>48</v>
      </c>
      <c r="U590" s="1" t="s">
        <v>47</v>
      </c>
      <c r="V590" s="1" t="s">
        <v>47</v>
      </c>
      <c r="W590" s="1" t="s">
        <v>47</v>
      </c>
      <c r="Z590" s="1">
        <v>0</v>
      </c>
      <c r="AB590" s="1" t="s">
        <v>47</v>
      </c>
      <c r="AD590" s="1">
        <v>527098</v>
      </c>
      <c r="AF590" s="1" t="s">
        <v>47</v>
      </c>
      <c r="AG590" s="1" t="s">
        <v>47</v>
      </c>
      <c r="AH590" s="1" t="s">
        <v>49</v>
      </c>
      <c r="AI590" s="1" t="s">
        <v>47</v>
      </c>
      <c r="AK590" s="1" t="s">
        <v>48</v>
      </c>
      <c r="AL590" s="1" t="s">
        <v>1958</v>
      </c>
    </row>
    <row r="591" spans="1:38">
      <c r="A591" s="1">
        <v>5138251</v>
      </c>
      <c r="B591" s="1" t="s">
        <v>1959</v>
      </c>
      <c r="C591" s="1" t="str">
        <f>""</f>
        <v/>
      </c>
      <c r="D591" s="1" t="str">
        <f>"9780273790327"</f>
        <v>9780273790327</v>
      </c>
      <c r="E591" s="1" t="s">
        <v>52</v>
      </c>
      <c r="F591" s="1" t="s">
        <v>40</v>
      </c>
      <c r="G591" s="3">
        <v>41584</v>
      </c>
      <c r="H591" s="3">
        <v>1</v>
      </c>
      <c r="I591" s="1" t="s">
        <v>41</v>
      </c>
      <c r="J591" s="1">
        <v>13</v>
      </c>
      <c r="L591" s="1" t="s">
        <v>1960</v>
      </c>
      <c r="Q591" s="1" t="s">
        <v>46</v>
      </c>
      <c r="R591" s="1" t="s">
        <v>47</v>
      </c>
      <c r="S591" s="1" t="s">
        <v>47</v>
      </c>
      <c r="T591" s="1" t="s">
        <v>48</v>
      </c>
      <c r="U591" s="1" t="s">
        <v>47</v>
      </c>
      <c r="V591" s="1" t="s">
        <v>47</v>
      </c>
      <c r="W591" s="1" t="s">
        <v>47</v>
      </c>
      <c r="Z591" s="1">
        <v>0</v>
      </c>
      <c r="AB591" s="1" t="s">
        <v>47</v>
      </c>
      <c r="AD591" s="1">
        <v>523735</v>
      </c>
      <c r="AF591" s="1" t="s">
        <v>47</v>
      </c>
      <c r="AG591" s="1" t="s">
        <v>47</v>
      </c>
      <c r="AH591" s="1" t="s">
        <v>49</v>
      </c>
      <c r="AI591" s="1" t="s">
        <v>47</v>
      </c>
      <c r="AK591" s="1" t="s">
        <v>48</v>
      </c>
      <c r="AL591" s="1" t="s">
        <v>1961</v>
      </c>
    </row>
    <row r="592" spans="1:38">
      <c r="A592" s="1">
        <v>5138255</v>
      </c>
      <c r="B592" s="1" t="s">
        <v>1962</v>
      </c>
      <c r="C592" s="1" t="str">
        <f>"9781292040240"</f>
        <v>9781292040240</v>
      </c>
      <c r="D592" s="1" t="str">
        <f>"9781292054094"</f>
        <v>9781292054094</v>
      </c>
      <c r="E592" s="1" t="s">
        <v>52</v>
      </c>
      <c r="F592" s="1" t="s">
        <v>40</v>
      </c>
      <c r="G592" s="3">
        <v>41579</v>
      </c>
      <c r="H592" s="3">
        <v>1</v>
      </c>
      <c r="I592" s="1" t="s">
        <v>41</v>
      </c>
      <c r="J592" s="1">
        <v>5</v>
      </c>
      <c r="L592" s="1" t="s">
        <v>1963</v>
      </c>
      <c r="M592" s="1" t="s">
        <v>242</v>
      </c>
      <c r="O592" s="1">
        <v>511.36</v>
      </c>
      <c r="Q592" s="1" t="s">
        <v>46</v>
      </c>
      <c r="R592" s="1" t="s">
        <v>47</v>
      </c>
      <c r="S592" s="1" t="s">
        <v>47</v>
      </c>
      <c r="T592" s="1" t="s">
        <v>48</v>
      </c>
      <c r="U592" s="1" t="s">
        <v>47</v>
      </c>
      <c r="V592" s="1" t="s">
        <v>47</v>
      </c>
      <c r="W592" s="1" t="s">
        <v>47</v>
      </c>
      <c r="Z592" s="1">
        <v>0</v>
      </c>
      <c r="AB592" s="1" t="s">
        <v>47</v>
      </c>
      <c r="AD592" s="1">
        <v>543494</v>
      </c>
      <c r="AF592" s="1" t="s">
        <v>47</v>
      </c>
      <c r="AG592" s="1" t="s">
        <v>47</v>
      </c>
      <c r="AH592" s="1" t="s">
        <v>49</v>
      </c>
      <c r="AI592" s="1" t="s">
        <v>47</v>
      </c>
      <c r="AK592" s="1" t="s">
        <v>48</v>
      </c>
      <c r="AL592" s="1" t="s">
        <v>1964</v>
      </c>
    </row>
    <row r="593" spans="1:38">
      <c r="A593" s="1">
        <v>5138257</v>
      </c>
      <c r="B593" s="1" t="s">
        <v>1965</v>
      </c>
      <c r="C593" s="1" t="str">
        <f>"9780273720898"</f>
        <v>9780273720898</v>
      </c>
      <c r="D593" s="1" t="str">
        <f>"9780273720904"</f>
        <v>9780273720904</v>
      </c>
      <c r="E593" s="1" t="s">
        <v>52</v>
      </c>
      <c r="F593" s="1" t="s">
        <v>139</v>
      </c>
      <c r="G593" s="3">
        <v>40205</v>
      </c>
      <c r="H593" s="3">
        <v>1</v>
      </c>
      <c r="I593" s="1" t="s">
        <v>41</v>
      </c>
      <c r="J593" s="1">
        <v>1</v>
      </c>
      <c r="L593" s="1" t="s">
        <v>1966</v>
      </c>
      <c r="M593" s="1" t="s">
        <v>100</v>
      </c>
      <c r="N593" s="1" t="s">
        <v>1967</v>
      </c>
      <c r="O593" s="1">
        <v>158</v>
      </c>
      <c r="Q593" s="1" t="s">
        <v>46</v>
      </c>
      <c r="R593" s="1" t="s">
        <v>47</v>
      </c>
      <c r="S593" s="1" t="s">
        <v>47</v>
      </c>
      <c r="T593" s="1" t="s">
        <v>48</v>
      </c>
      <c r="U593" s="1" t="s">
        <v>47</v>
      </c>
      <c r="V593" s="1" t="s">
        <v>47</v>
      </c>
      <c r="W593" s="1" t="s">
        <v>47</v>
      </c>
      <c r="Z593" s="1">
        <v>0</v>
      </c>
      <c r="AB593" s="1" t="s">
        <v>47</v>
      </c>
      <c r="AD593" s="1">
        <v>231739</v>
      </c>
      <c r="AF593" s="1" t="s">
        <v>47</v>
      </c>
      <c r="AG593" s="1" t="s">
        <v>47</v>
      </c>
      <c r="AH593" s="1" t="s">
        <v>49</v>
      </c>
      <c r="AI593" s="1" t="s">
        <v>47</v>
      </c>
      <c r="AK593" s="1" t="s">
        <v>48</v>
      </c>
      <c r="AL593" s="1" t="s">
        <v>1968</v>
      </c>
    </row>
    <row r="594" spans="1:38">
      <c r="A594" s="1">
        <v>5138261</v>
      </c>
      <c r="B594" s="1" t="s">
        <v>1969</v>
      </c>
      <c r="C594" s="1" t="str">
        <f>""</f>
        <v/>
      </c>
      <c r="D594" s="1" t="str">
        <f>"9780273772477"</f>
        <v>9780273772477</v>
      </c>
      <c r="E594" s="1" t="s">
        <v>52</v>
      </c>
      <c r="F594" s="1" t="s">
        <v>40</v>
      </c>
      <c r="G594" s="3">
        <v>41426</v>
      </c>
      <c r="H594" s="3">
        <v>1</v>
      </c>
      <c r="I594" s="1" t="s">
        <v>41</v>
      </c>
      <c r="J594" s="1">
        <v>1</v>
      </c>
      <c r="L594" s="1" t="s">
        <v>88</v>
      </c>
      <c r="M594" s="1" t="s">
        <v>59</v>
      </c>
      <c r="N594" s="1" t="s">
        <v>1970</v>
      </c>
      <c r="O594" s="1">
        <v>650.14</v>
      </c>
      <c r="P594" s="1" t="s">
        <v>1971</v>
      </c>
      <c r="Q594" s="1" t="s">
        <v>46</v>
      </c>
      <c r="R594" s="1" t="s">
        <v>47</v>
      </c>
      <c r="S594" s="1" t="s">
        <v>47</v>
      </c>
      <c r="T594" s="1" t="s">
        <v>48</v>
      </c>
      <c r="U594" s="1" t="s">
        <v>47</v>
      </c>
      <c r="V594" s="1" t="s">
        <v>47</v>
      </c>
      <c r="W594" s="1" t="s">
        <v>47</v>
      </c>
      <c r="Z594" s="1">
        <v>0</v>
      </c>
      <c r="AB594" s="1" t="s">
        <v>47</v>
      </c>
      <c r="AD594" s="1">
        <v>497443</v>
      </c>
      <c r="AF594" s="1" t="s">
        <v>47</v>
      </c>
      <c r="AG594" s="1" t="s">
        <v>47</v>
      </c>
      <c r="AH594" s="1" t="s">
        <v>49</v>
      </c>
      <c r="AI594" s="1" t="s">
        <v>47</v>
      </c>
      <c r="AK594" s="1" t="s">
        <v>48</v>
      </c>
      <c r="AL594" s="1" t="s">
        <v>1972</v>
      </c>
    </row>
    <row r="595" spans="1:38">
      <c r="A595" s="1">
        <v>5138267</v>
      </c>
      <c r="B595" s="1" t="s">
        <v>1973</v>
      </c>
      <c r="C595" s="1" t="str">
        <f>"9781292027180"</f>
        <v>9781292027180</v>
      </c>
      <c r="D595" s="1" t="str">
        <f>"9781292054131"</f>
        <v>9781292054131</v>
      </c>
      <c r="E595" s="1" t="s">
        <v>52</v>
      </c>
      <c r="F595" s="1" t="s">
        <v>40</v>
      </c>
      <c r="G595" s="3">
        <v>41579</v>
      </c>
      <c r="H595" s="3">
        <v>1</v>
      </c>
      <c r="I595" s="1" t="s">
        <v>41</v>
      </c>
      <c r="J595" s="1">
        <v>3</v>
      </c>
      <c r="L595" s="1" t="s">
        <v>1974</v>
      </c>
      <c r="M595" s="1" t="s">
        <v>242</v>
      </c>
      <c r="O595" s="1">
        <v>519.50243</v>
      </c>
      <c r="Q595" s="1" t="s">
        <v>46</v>
      </c>
      <c r="R595" s="1" t="s">
        <v>47</v>
      </c>
      <c r="S595" s="1" t="s">
        <v>47</v>
      </c>
      <c r="T595" s="1" t="s">
        <v>48</v>
      </c>
      <c r="U595" s="1" t="s">
        <v>47</v>
      </c>
      <c r="V595" s="1" t="s">
        <v>47</v>
      </c>
      <c r="W595" s="1" t="s">
        <v>47</v>
      </c>
      <c r="Z595" s="1">
        <v>0</v>
      </c>
      <c r="AB595" s="1" t="s">
        <v>47</v>
      </c>
      <c r="AD595" s="1">
        <v>543333</v>
      </c>
      <c r="AF595" s="1" t="s">
        <v>47</v>
      </c>
      <c r="AG595" s="1" t="s">
        <v>47</v>
      </c>
      <c r="AH595" s="1" t="s">
        <v>49</v>
      </c>
      <c r="AI595" s="1" t="s">
        <v>47</v>
      </c>
      <c r="AK595" s="1" t="s">
        <v>48</v>
      </c>
      <c r="AL595" s="1" t="s">
        <v>1975</v>
      </c>
    </row>
    <row r="596" spans="1:38">
      <c r="A596" s="1">
        <v>5138277</v>
      </c>
      <c r="B596" s="1" t="s">
        <v>1976</v>
      </c>
      <c r="C596" s="1" t="str">
        <f>"9781292022109"</f>
        <v>9781292022109</v>
      </c>
      <c r="D596" s="1" t="str">
        <f>"9781292035314"</f>
        <v>9781292035314</v>
      </c>
      <c r="E596" s="1" t="s">
        <v>52</v>
      </c>
      <c r="F596" s="1" t="s">
        <v>40</v>
      </c>
      <c r="G596" s="3">
        <v>41513</v>
      </c>
      <c r="H596" s="3">
        <v>1</v>
      </c>
      <c r="I596" s="1" t="s">
        <v>41</v>
      </c>
      <c r="J596" s="1">
        <v>10</v>
      </c>
      <c r="L596" s="1" t="s">
        <v>1977</v>
      </c>
      <c r="Q596" s="1" t="s">
        <v>46</v>
      </c>
      <c r="R596" s="1" t="s">
        <v>47</v>
      </c>
      <c r="S596" s="1" t="s">
        <v>47</v>
      </c>
      <c r="T596" s="1" t="s">
        <v>48</v>
      </c>
      <c r="U596" s="1" t="s">
        <v>47</v>
      </c>
      <c r="V596" s="1" t="s">
        <v>47</v>
      </c>
      <c r="W596" s="1" t="s">
        <v>47</v>
      </c>
      <c r="Z596" s="1">
        <v>0</v>
      </c>
      <c r="AB596" s="1" t="s">
        <v>47</v>
      </c>
      <c r="AD596" s="1">
        <v>527036</v>
      </c>
      <c r="AF596" s="1" t="s">
        <v>47</v>
      </c>
      <c r="AG596" s="1" t="s">
        <v>47</v>
      </c>
      <c r="AH596" s="1" t="s">
        <v>49</v>
      </c>
      <c r="AI596" s="1" t="s">
        <v>47</v>
      </c>
      <c r="AK596" s="1" t="s">
        <v>48</v>
      </c>
      <c r="AL596" s="1" t="s">
        <v>1978</v>
      </c>
    </row>
    <row r="597" spans="1:38">
      <c r="A597" s="1">
        <v>5138278</v>
      </c>
      <c r="B597" s="1" t="s">
        <v>1979</v>
      </c>
      <c r="C597" s="1" t="str">
        <f>"9781292040257"</f>
        <v>9781292040257</v>
      </c>
      <c r="D597" s="1" t="str">
        <f>"9781292054155"</f>
        <v>9781292054155</v>
      </c>
      <c r="E597" s="1" t="s">
        <v>52</v>
      </c>
      <c r="F597" s="1" t="s">
        <v>40</v>
      </c>
      <c r="G597" s="3">
        <v>41579</v>
      </c>
      <c r="H597" s="3">
        <v>1</v>
      </c>
      <c r="I597" s="1" t="s">
        <v>41</v>
      </c>
      <c r="J597" s="1">
        <v>9</v>
      </c>
      <c r="L597" s="1" t="s">
        <v>1980</v>
      </c>
      <c r="M597" s="1" t="s">
        <v>242</v>
      </c>
      <c r="O597" s="1">
        <v>510</v>
      </c>
      <c r="Q597" s="1" t="s">
        <v>46</v>
      </c>
      <c r="R597" s="1" t="s">
        <v>47</v>
      </c>
      <c r="S597" s="1" t="s">
        <v>47</v>
      </c>
      <c r="T597" s="1" t="s">
        <v>48</v>
      </c>
      <c r="U597" s="1" t="s">
        <v>47</v>
      </c>
      <c r="V597" s="1" t="s">
        <v>47</v>
      </c>
      <c r="W597" s="1" t="s">
        <v>47</v>
      </c>
      <c r="Z597" s="1">
        <v>0</v>
      </c>
      <c r="AB597" s="1" t="s">
        <v>47</v>
      </c>
      <c r="AD597" s="1">
        <v>543628</v>
      </c>
      <c r="AF597" s="1" t="s">
        <v>47</v>
      </c>
      <c r="AG597" s="1" t="s">
        <v>47</v>
      </c>
      <c r="AH597" s="1" t="s">
        <v>49</v>
      </c>
      <c r="AI597" s="1" t="s">
        <v>47</v>
      </c>
      <c r="AK597" s="1" t="s">
        <v>48</v>
      </c>
      <c r="AL597" s="1" t="s">
        <v>1981</v>
      </c>
    </row>
    <row r="598" spans="1:38">
      <c r="A598" s="1">
        <v>5138279</v>
      </c>
      <c r="B598" s="1" t="s">
        <v>377</v>
      </c>
      <c r="C598" s="1" t="str">
        <f>"9781292022734"</f>
        <v>9781292022734</v>
      </c>
      <c r="D598" s="1" t="str">
        <f>"9781292035932"</f>
        <v>9781292035932</v>
      </c>
      <c r="E598" s="1" t="s">
        <v>52</v>
      </c>
      <c r="F598" s="1" t="s">
        <v>40</v>
      </c>
      <c r="G598" s="3">
        <v>41491</v>
      </c>
      <c r="H598" s="3">
        <v>1</v>
      </c>
      <c r="I598" s="1" t="s">
        <v>41</v>
      </c>
      <c r="J598" s="1">
        <v>11</v>
      </c>
      <c r="L598" s="1" t="s">
        <v>1982</v>
      </c>
      <c r="M598" s="1" t="s">
        <v>242</v>
      </c>
      <c r="O598" s="1">
        <v>512</v>
      </c>
      <c r="Q598" s="1" t="s">
        <v>46</v>
      </c>
      <c r="R598" s="1" t="s">
        <v>47</v>
      </c>
      <c r="S598" s="1" t="s">
        <v>47</v>
      </c>
      <c r="T598" s="1" t="s">
        <v>48</v>
      </c>
      <c r="U598" s="1" t="s">
        <v>47</v>
      </c>
      <c r="V598" s="1" t="s">
        <v>47</v>
      </c>
      <c r="W598" s="1" t="s">
        <v>47</v>
      </c>
      <c r="Z598" s="1">
        <v>0</v>
      </c>
      <c r="AB598" s="1" t="s">
        <v>47</v>
      </c>
      <c r="AD598" s="1">
        <v>527173</v>
      </c>
      <c r="AF598" s="1" t="s">
        <v>47</v>
      </c>
      <c r="AG598" s="1" t="s">
        <v>47</v>
      </c>
      <c r="AH598" s="1" t="s">
        <v>49</v>
      </c>
      <c r="AI598" s="1" t="s">
        <v>47</v>
      </c>
      <c r="AK598" s="1" t="s">
        <v>48</v>
      </c>
      <c r="AL598" s="1" t="s">
        <v>1983</v>
      </c>
    </row>
    <row r="599" spans="1:38">
      <c r="A599" s="1">
        <v>5138280</v>
      </c>
      <c r="B599" s="1" t="s">
        <v>1984</v>
      </c>
      <c r="C599" s="1" t="str">
        <f>"9781292022512"</f>
        <v>9781292022512</v>
      </c>
      <c r="D599" s="1" t="str">
        <f>"9781292035710"</f>
        <v>9781292035710</v>
      </c>
      <c r="E599" s="1" t="s">
        <v>52</v>
      </c>
      <c r="F599" s="1" t="s">
        <v>40</v>
      </c>
      <c r="G599" s="3">
        <v>41479</v>
      </c>
      <c r="H599" s="3">
        <v>1</v>
      </c>
      <c r="I599" s="1" t="s">
        <v>41</v>
      </c>
      <c r="J599" s="1">
        <v>10</v>
      </c>
      <c r="L599" s="1" t="s">
        <v>1982</v>
      </c>
      <c r="M599" s="1" t="s">
        <v>242</v>
      </c>
      <c r="O599" s="1">
        <v>512</v>
      </c>
      <c r="Q599" s="1" t="s">
        <v>46</v>
      </c>
      <c r="R599" s="1" t="s">
        <v>47</v>
      </c>
      <c r="S599" s="1" t="s">
        <v>47</v>
      </c>
      <c r="T599" s="1" t="s">
        <v>48</v>
      </c>
      <c r="U599" s="1" t="s">
        <v>47</v>
      </c>
      <c r="V599" s="1" t="s">
        <v>47</v>
      </c>
      <c r="W599" s="1" t="s">
        <v>47</v>
      </c>
      <c r="Z599" s="1">
        <v>0</v>
      </c>
      <c r="AB599" s="1" t="s">
        <v>47</v>
      </c>
      <c r="AD599" s="1">
        <v>527360</v>
      </c>
      <c r="AF599" s="1" t="s">
        <v>47</v>
      </c>
      <c r="AG599" s="1" t="s">
        <v>47</v>
      </c>
      <c r="AH599" s="1" t="s">
        <v>49</v>
      </c>
      <c r="AI599" s="1" t="s">
        <v>47</v>
      </c>
      <c r="AK599" s="1" t="s">
        <v>48</v>
      </c>
      <c r="AL599" s="1" t="s">
        <v>1985</v>
      </c>
    </row>
    <row r="600" spans="1:38">
      <c r="A600" s="1">
        <v>5138281</v>
      </c>
      <c r="B600" s="1" t="s">
        <v>1986</v>
      </c>
      <c r="C600" s="1" t="str">
        <f>"9781292041018"</f>
        <v>9781292041018</v>
      </c>
      <c r="D600" s="1" t="str">
        <f>"9781292054162"</f>
        <v>9781292054162</v>
      </c>
      <c r="E600" s="1" t="s">
        <v>52</v>
      </c>
      <c r="F600" s="1" t="s">
        <v>40</v>
      </c>
      <c r="G600" s="3">
        <v>41579</v>
      </c>
      <c r="H600" s="3">
        <v>1</v>
      </c>
      <c r="I600" s="1" t="s">
        <v>41</v>
      </c>
      <c r="J600" s="1">
        <v>11</v>
      </c>
      <c r="L600" s="1" t="s">
        <v>1982</v>
      </c>
      <c r="M600" s="1" t="s">
        <v>242</v>
      </c>
      <c r="O600" s="1">
        <v>512</v>
      </c>
      <c r="Q600" s="1" t="s">
        <v>46</v>
      </c>
      <c r="R600" s="1" t="s">
        <v>47</v>
      </c>
      <c r="S600" s="1" t="s">
        <v>47</v>
      </c>
      <c r="T600" s="1" t="s">
        <v>48</v>
      </c>
      <c r="U600" s="1" t="s">
        <v>47</v>
      </c>
      <c r="V600" s="1" t="s">
        <v>47</v>
      </c>
      <c r="W600" s="1" t="s">
        <v>47</v>
      </c>
      <c r="Z600" s="1">
        <v>0</v>
      </c>
      <c r="AB600" s="1" t="s">
        <v>47</v>
      </c>
      <c r="AD600" s="1">
        <v>543414</v>
      </c>
      <c r="AF600" s="1" t="s">
        <v>47</v>
      </c>
      <c r="AG600" s="1" t="s">
        <v>47</v>
      </c>
      <c r="AH600" s="1" t="s">
        <v>49</v>
      </c>
      <c r="AI600" s="1" t="s">
        <v>47</v>
      </c>
      <c r="AK600" s="1" t="s">
        <v>48</v>
      </c>
      <c r="AL600" s="1" t="s">
        <v>1987</v>
      </c>
    </row>
    <row r="601" spans="1:38">
      <c r="A601" s="1">
        <v>5138282</v>
      </c>
      <c r="B601" s="1" t="s">
        <v>1988</v>
      </c>
      <c r="C601" s="1" t="str">
        <f>"9781292040837"</f>
        <v>9781292040837</v>
      </c>
      <c r="D601" s="1" t="str">
        <f>"9781292054179"</f>
        <v>9781292054179</v>
      </c>
      <c r="E601" s="1" t="s">
        <v>52</v>
      </c>
      <c r="F601" s="1" t="s">
        <v>40</v>
      </c>
      <c r="G601" s="3">
        <v>41579</v>
      </c>
      <c r="H601" s="3">
        <v>1</v>
      </c>
      <c r="I601" s="1" t="s">
        <v>41</v>
      </c>
      <c r="J601" s="1">
        <v>5</v>
      </c>
      <c r="L601" s="1" t="s">
        <v>1982</v>
      </c>
      <c r="M601" s="1" t="s">
        <v>242</v>
      </c>
      <c r="O601" s="1">
        <v>512</v>
      </c>
      <c r="Q601" s="1" t="s">
        <v>46</v>
      </c>
      <c r="R601" s="1" t="s">
        <v>47</v>
      </c>
      <c r="S601" s="1" t="s">
        <v>47</v>
      </c>
      <c r="T601" s="1" t="s">
        <v>48</v>
      </c>
      <c r="U601" s="1" t="s">
        <v>47</v>
      </c>
      <c r="V601" s="1" t="s">
        <v>47</v>
      </c>
      <c r="W601" s="1" t="s">
        <v>47</v>
      </c>
      <c r="Z601" s="1">
        <v>0</v>
      </c>
      <c r="AB601" s="1" t="s">
        <v>47</v>
      </c>
      <c r="AD601" s="1">
        <v>543510</v>
      </c>
      <c r="AF601" s="1" t="s">
        <v>47</v>
      </c>
      <c r="AG601" s="1" t="s">
        <v>47</v>
      </c>
      <c r="AH601" s="1" t="s">
        <v>49</v>
      </c>
      <c r="AI601" s="1" t="s">
        <v>47</v>
      </c>
      <c r="AK601" s="1" t="s">
        <v>48</v>
      </c>
      <c r="AL601" s="1" t="s">
        <v>1989</v>
      </c>
    </row>
    <row r="602" spans="1:38">
      <c r="A602" s="1">
        <v>5138284</v>
      </c>
      <c r="B602" s="1" t="s">
        <v>282</v>
      </c>
      <c r="C602" s="1" t="str">
        <f>"9781292022215"</f>
        <v>9781292022215</v>
      </c>
      <c r="D602" s="1" t="str">
        <f>"9781292035413"</f>
        <v>9781292035413</v>
      </c>
      <c r="E602" s="1" t="s">
        <v>52</v>
      </c>
      <c r="F602" s="1" t="s">
        <v>40</v>
      </c>
      <c r="G602" s="3">
        <v>41513</v>
      </c>
      <c r="H602" s="3">
        <v>1</v>
      </c>
      <c r="I602" s="1" t="s">
        <v>41</v>
      </c>
      <c r="J602" s="1">
        <v>5</v>
      </c>
      <c r="L602" s="1" t="s">
        <v>1990</v>
      </c>
      <c r="Q602" s="1" t="s">
        <v>46</v>
      </c>
      <c r="R602" s="1" t="s">
        <v>47</v>
      </c>
      <c r="S602" s="1" t="s">
        <v>47</v>
      </c>
      <c r="T602" s="1" t="s">
        <v>48</v>
      </c>
      <c r="U602" s="1" t="s">
        <v>47</v>
      </c>
      <c r="V602" s="1" t="s">
        <v>47</v>
      </c>
      <c r="W602" s="1" t="s">
        <v>47</v>
      </c>
      <c r="Z602" s="1">
        <v>0</v>
      </c>
      <c r="AB602" s="1" t="s">
        <v>47</v>
      </c>
      <c r="AD602" s="1">
        <v>527035</v>
      </c>
      <c r="AF602" s="1" t="s">
        <v>47</v>
      </c>
      <c r="AG602" s="1" t="s">
        <v>47</v>
      </c>
      <c r="AH602" s="1" t="s">
        <v>49</v>
      </c>
      <c r="AI602" s="1" t="s">
        <v>47</v>
      </c>
      <c r="AK602" s="1" t="s">
        <v>48</v>
      </c>
      <c r="AL602" s="1" t="s">
        <v>1991</v>
      </c>
    </row>
    <row r="603" spans="1:38">
      <c r="A603" s="1">
        <v>5138285</v>
      </c>
      <c r="B603" s="1" t="s">
        <v>1148</v>
      </c>
      <c r="C603" s="1" t="str">
        <f>"9781292023809"</f>
        <v>9781292023809</v>
      </c>
      <c r="D603" s="1" t="str">
        <f>"9781292036939"</f>
        <v>9781292036939</v>
      </c>
      <c r="E603" s="1" t="s">
        <v>52</v>
      </c>
      <c r="F603" s="1" t="s">
        <v>40</v>
      </c>
      <c r="G603" s="3">
        <v>41515</v>
      </c>
      <c r="H603" s="3">
        <v>1</v>
      </c>
      <c r="I603" s="1" t="s">
        <v>41</v>
      </c>
      <c r="J603" s="1">
        <v>11</v>
      </c>
      <c r="L603" s="1" t="s">
        <v>1990</v>
      </c>
      <c r="Q603" s="1" t="s">
        <v>46</v>
      </c>
      <c r="R603" s="1" t="s">
        <v>47</v>
      </c>
      <c r="S603" s="1" t="s">
        <v>47</v>
      </c>
      <c r="T603" s="1" t="s">
        <v>48</v>
      </c>
      <c r="U603" s="1" t="s">
        <v>47</v>
      </c>
      <c r="V603" s="1" t="s">
        <v>47</v>
      </c>
      <c r="W603" s="1" t="s">
        <v>47</v>
      </c>
      <c r="Z603" s="1">
        <v>0</v>
      </c>
      <c r="AB603" s="1" t="s">
        <v>47</v>
      </c>
      <c r="AD603" s="1">
        <v>527080</v>
      </c>
      <c r="AF603" s="1" t="s">
        <v>47</v>
      </c>
      <c r="AG603" s="1" t="s">
        <v>47</v>
      </c>
      <c r="AH603" s="1" t="s">
        <v>49</v>
      </c>
      <c r="AI603" s="1" t="s">
        <v>47</v>
      </c>
      <c r="AK603" s="1" t="s">
        <v>48</v>
      </c>
      <c r="AL603" s="1" t="s">
        <v>1992</v>
      </c>
    </row>
    <row r="604" spans="1:38">
      <c r="A604" s="1">
        <v>5138286</v>
      </c>
      <c r="B604" s="1" t="s">
        <v>1463</v>
      </c>
      <c r="C604" s="1" t="str">
        <f>"9781292023601"</f>
        <v>9781292023601</v>
      </c>
      <c r="D604" s="1" t="str">
        <f>"9781292036762"</f>
        <v>9781292036762</v>
      </c>
      <c r="E604" s="1" t="s">
        <v>52</v>
      </c>
      <c r="F604" s="1" t="s">
        <v>40</v>
      </c>
      <c r="G604" s="3">
        <v>41486</v>
      </c>
      <c r="H604" s="3">
        <v>1</v>
      </c>
      <c r="I604" s="1" t="s">
        <v>41</v>
      </c>
      <c r="J604" s="1">
        <v>10</v>
      </c>
      <c r="L604" s="1" t="s">
        <v>1993</v>
      </c>
      <c r="M604" s="1" t="s">
        <v>242</v>
      </c>
      <c r="O604" s="1">
        <v>516.24</v>
      </c>
      <c r="Q604" s="1" t="s">
        <v>46</v>
      </c>
      <c r="R604" s="1" t="s">
        <v>47</v>
      </c>
      <c r="S604" s="1" t="s">
        <v>47</v>
      </c>
      <c r="T604" s="1" t="s">
        <v>48</v>
      </c>
      <c r="U604" s="1" t="s">
        <v>47</v>
      </c>
      <c r="V604" s="1" t="s">
        <v>47</v>
      </c>
      <c r="W604" s="1" t="s">
        <v>47</v>
      </c>
      <c r="Z604" s="1">
        <v>0</v>
      </c>
      <c r="AB604" s="1" t="s">
        <v>47</v>
      </c>
      <c r="AD604" s="1">
        <v>527141</v>
      </c>
      <c r="AF604" s="1" t="s">
        <v>47</v>
      </c>
      <c r="AG604" s="1" t="s">
        <v>47</v>
      </c>
      <c r="AH604" s="1" t="s">
        <v>49</v>
      </c>
      <c r="AI604" s="1" t="s">
        <v>47</v>
      </c>
      <c r="AK604" s="1" t="s">
        <v>48</v>
      </c>
      <c r="AL604" s="1" t="s">
        <v>1994</v>
      </c>
    </row>
    <row r="605" spans="1:38">
      <c r="A605" s="1">
        <v>5138287</v>
      </c>
      <c r="B605" s="1" t="s">
        <v>1995</v>
      </c>
      <c r="C605" s="1" t="str">
        <f>"9781292040424"</f>
        <v>9781292040424</v>
      </c>
      <c r="D605" s="1" t="str">
        <f>"9781292054186"</f>
        <v>9781292054186</v>
      </c>
      <c r="E605" s="1" t="s">
        <v>52</v>
      </c>
      <c r="F605" s="1" t="s">
        <v>40</v>
      </c>
      <c r="G605" s="3">
        <v>41550</v>
      </c>
      <c r="H605" s="3">
        <v>1</v>
      </c>
      <c r="I605" s="1" t="s">
        <v>41</v>
      </c>
      <c r="J605" s="1">
        <v>10</v>
      </c>
      <c r="L605" s="1" t="s">
        <v>1990</v>
      </c>
      <c r="Q605" s="1" t="s">
        <v>46</v>
      </c>
      <c r="R605" s="1" t="s">
        <v>47</v>
      </c>
      <c r="S605" s="1" t="s">
        <v>47</v>
      </c>
      <c r="T605" s="1" t="s">
        <v>48</v>
      </c>
      <c r="U605" s="1" t="s">
        <v>47</v>
      </c>
      <c r="V605" s="1" t="s">
        <v>47</v>
      </c>
      <c r="W605" s="1" t="s">
        <v>47</v>
      </c>
      <c r="Z605" s="1">
        <v>0</v>
      </c>
      <c r="AB605" s="1" t="s">
        <v>47</v>
      </c>
      <c r="AD605" s="1">
        <v>543404</v>
      </c>
      <c r="AF605" s="1" t="s">
        <v>47</v>
      </c>
      <c r="AG605" s="1" t="s">
        <v>47</v>
      </c>
      <c r="AH605" s="1" t="s">
        <v>49</v>
      </c>
      <c r="AI605" s="1" t="s">
        <v>47</v>
      </c>
      <c r="AK605" s="1" t="s">
        <v>48</v>
      </c>
      <c r="AL605" s="1" t="s">
        <v>1996</v>
      </c>
    </row>
    <row r="606" spans="1:38">
      <c r="A606" s="1">
        <v>5138288</v>
      </c>
      <c r="B606" s="1" t="s">
        <v>495</v>
      </c>
      <c r="C606" s="1" t="str">
        <f>"9781292040226"</f>
        <v>9781292040226</v>
      </c>
      <c r="D606" s="1" t="str">
        <f>"9781292054193"</f>
        <v>9781292054193</v>
      </c>
      <c r="E606" s="1" t="s">
        <v>52</v>
      </c>
      <c r="F606" s="1" t="s">
        <v>40</v>
      </c>
      <c r="G606" s="3">
        <v>41579</v>
      </c>
      <c r="H606" s="3">
        <v>1</v>
      </c>
      <c r="I606" s="1" t="s">
        <v>41</v>
      </c>
      <c r="J606" s="1">
        <v>5</v>
      </c>
      <c r="L606" s="1" t="s">
        <v>1993</v>
      </c>
      <c r="M606" s="1" t="s">
        <v>242</v>
      </c>
      <c r="O606" s="1">
        <v>515</v>
      </c>
      <c r="Q606" s="1" t="s">
        <v>46</v>
      </c>
      <c r="R606" s="1" t="s">
        <v>47</v>
      </c>
      <c r="S606" s="1" t="s">
        <v>47</v>
      </c>
      <c r="T606" s="1" t="s">
        <v>48</v>
      </c>
      <c r="U606" s="1" t="s">
        <v>47</v>
      </c>
      <c r="V606" s="1" t="s">
        <v>47</v>
      </c>
      <c r="W606" s="1" t="s">
        <v>47</v>
      </c>
      <c r="Z606" s="1">
        <v>0</v>
      </c>
      <c r="AB606" s="1" t="s">
        <v>47</v>
      </c>
      <c r="AD606" s="1">
        <v>543642</v>
      </c>
      <c r="AF606" s="1" t="s">
        <v>47</v>
      </c>
      <c r="AG606" s="1" t="s">
        <v>47</v>
      </c>
      <c r="AH606" s="1" t="s">
        <v>49</v>
      </c>
      <c r="AI606" s="1" t="s">
        <v>47</v>
      </c>
      <c r="AK606" s="1" t="s">
        <v>48</v>
      </c>
      <c r="AL606" s="1" t="s">
        <v>1997</v>
      </c>
    </row>
    <row r="607" spans="1:38">
      <c r="A607" s="1">
        <v>5138295</v>
      </c>
      <c r="B607" s="1" t="s">
        <v>1998</v>
      </c>
      <c r="C607" s="1" t="str">
        <f>"9781292039251"</f>
        <v>9781292039251</v>
      </c>
      <c r="D607" s="1" t="str">
        <f>"9781292054209"</f>
        <v>9781292054209</v>
      </c>
      <c r="E607" s="1" t="s">
        <v>52</v>
      </c>
      <c r="F607" s="1" t="s">
        <v>40</v>
      </c>
      <c r="G607" s="3">
        <v>41550</v>
      </c>
      <c r="H607" s="3">
        <v>1</v>
      </c>
      <c r="I607" s="1" t="s">
        <v>41</v>
      </c>
      <c r="J607" s="1">
        <v>12</v>
      </c>
      <c r="L607" s="1" t="s">
        <v>1999</v>
      </c>
      <c r="Q607" s="1" t="s">
        <v>46</v>
      </c>
      <c r="R607" s="1" t="s">
        <v>47</v>
      </c>
      <c r="S607" s="1" t="s">
        <v>47</v>
      </c>
      <c r="T607" s="1" t="s">
        <v>48</v>
      </c>
      <c r="U607" s="1" t="s">
        <v>47</v>
      </c>
      <c r="V607" s="1" t="s">
        <v>47</v>
      </c>
      <c r="W607" s="1" t="s">
        <v>47</v>
      </c>
      <c r="Z607" s="1">
        <v>0</v>
      </c>
      <c r="AB607" s="1" t="s">
        <v>47</v>
      </c>
      <c r="AD607" s="1">
        <v>543542</v>
      </c>
      <c r="AF607" s="1" t="s">
        <v>47</v>
      </c>
      <c r="AG607" s="1" t="s">
        <v>47</v>
      </c>
      <c r="AH607" s="1" t="s">
        <v>49</v>
      </c>
      <c r="AI607" s="1" t="s">
        <v>47</v>
      </c>
      <c r="AK607" s="1" t="s">
        <v>48</v>
      </c>
      <c r="AL607" s="1" t="s">
        <v>2000</v>
      </c>
    </row>
    <row r="608" spans="1:38">
      <c r="A608" s="1">
        <v>5138296</v>
      </c>
      <c r="B608" s="1" t="s">
        <v>2001</v>
      </c>
      <c r="C608" s="1" t="str">
        <f>"9780273737988"</f>
        <v>9780273737988</v>
      </c>
      <c r="D608" s="1" t="str">
        <f>"9780273737995"</f>
        <v>9780273737995</v>
      </c>
      <c r="E608" s="1" t="s">
        <v>52</v>
      </c>
      <c r="F608" s="1" t="s">
        <v>157</v>
      </c>
      <c r="G608" s="3">
        <v>40725</v>
      </c>
      <c r="H608" s="3">
        <v>1</v>
      </c>
      <c r="I608" s="1" t="s">
        <v>41</v>
      </c>
      <c r="J608" s="1">
        <v>1</v>
      </c>
      <c r="K608" s="1" t="s">
        <v>1539</v>
      </c>
      <c r="L608" s="1" t="s">
        <v>2002</v>
      </c>
      <c r="M608" s="1" t="s">
        <v>100</v>
      </c>
      <c r="N608" s="1" t="s">
        <v>2003</v>
      </c>
      <c r="O608" s="1">
        <v>153</v>
      </c>
      <c r="P608" s="1" t="s">
        <v>2004</v>
      </c>
      <c r="Q608" s="1" t="s">
        <v>46</v>
      </c>
      <c r="R608" s="1" t="s">
        <v>47</v>
      </c>
      <c r="S608" s="1" t="s">
        <v>47</v>
      </c>
      <c r="T608" s="1" t="s">
        <v>48</v>
      </c>
      <c r="U608" s="1" t="s">
        <v>47</v>
      </c>
      <c r="V608" s="1" t="s">
        <v>47</v>
      </c>
      <c r="W608" s="1" t="s">
        <v>47</v>
      </c>
      <c r="Z608" s="1">
        <v>0</v>
      </c>
      <c r="AB608" s="1" t="s">
        <v>47</v>
      </c>
      <c r="AD608" s="1">
        <v>333401</v>
      </c>
      <c r="AF608" s="1" t="s">
        <v>47</v>
      </c>
      <c r="AG608" s="1" t="s">
        <v>47</v>
      </c>
      <c r="AH608" s="1" t="s">
        <v>49</v>
      </c>
      <c r="AI608" s="1" t="s">
        <v>47</v>
      </c>
      <c r="AK608" s="1" t="s">
        <v>48</v>
      </c>
      <c r="AL608" s="1" t="s">
        <v>2005</v>
      </c>
    </row>
    <row r="609" spans="1:38">
      <c r="A609" s="1">
        <v>5138297</v>
      </c>
      <c r="B609" s="1" t="s">
        <v>2006</v>
      </c>
      <c r="C609" s="1" t="str">
        <f>""</f>
        <v/>
      </c>
      <c r="D609" s="1" t="str">
        <f>"9780273742463"</f>
        <v>9780273742463</v>
      </c>
      <c r="E609" s="1" t="s">
        <v>52</v>
      </c>
      <c r="F609" s="1" t="s">
        <v>57</v>
      </c>
      <c r="G609" s="3">
        <v>40630</v>
      </c>
      <c r="H609" s="3">
        <v>1</v>
      </c>
      <c r="I609" s="1" t="s">
        <v>41</v>
      </c>
      <c r="J609" s="1">
        <v>1</v>
      </c>
      <c r="L609" s="1" t="s">
        <v>2007</v>
      </c>
      <c r="Q609" s="1" t="s">
        <v>46</v>
      </c>
      <c r="R609" s="1" t="s">
        <v>47</v>
      </c>
      <c r="S609" s="1" t="s">
        <v>47</v>
      </c>
      <c r="T609" s="1" t="s">
        <v>48</v>
      </c>
      <c r="U609" s="1" t="s">
        <v>47</v>
      </c>
      <c r="V609" s="1" t="s">
        <v>47</v>
      </c>
      <c r="W609" s="1" t="s">
        <v>47</v>
      </c>
      <c r="Z609" s="1">
        <v>0</v>
      </c>
      <c r="AB609" s="1" t="s">
        <v>47</v>
      </c>
      <c r="AD609" s="1">
        <v>305616</v>
      </c>
      <c r="AF609" s="1" t="s">
        <v>47</v>
      </c>
      <c r="AG609" s="1" t="s">
        <v>47</v>
      </c>
      <c r="AH609" s="1" t="s">
        <v>49</v>
      </c>
      <c r="AI609" s="1" t="s">
        <v>47</v>
      </c>
      <c r="AK609" s="1" t="s">
        <v>48</v>
      </c>
      <c r="AL609" s="1" t="s">
        <v>2008</v>
      </c>
    </row>
    <row r="610" spans="1:38">
      <c r="A610" s="1">
        <v>5138298</v>
      </c>
      <c r="B610" s="1" t="s">
        <v>2009</v>
      </c>
      <c r="C610" s="1" t="str">
        <f>""</f>
        <v/>
      </c>
      <c r="D610" s="1" t="str">
        <f>"9780273743460"</f>
        <v>9780273743460</v>
      </c>
      <c r="E610" s="1" t="s">
        <v>52</v>
      </c>
      <c r="F610" s="1" t="s">
        <v>157</v>
      </c>
      <c r="G610" s="3">
        <v>40567</v>
      </c>
      <c r="H610" s="3">
        <v>1</v>
      </c>
      <c r="I610" s="1" t="s">
        <v>41</v>
      </c>
      <c r="J610" s="1">
        <v>2</v>
      </c>
      <c r="L610" s="1" t="s">
        <v>2010</v>
      </c>
      <c r="Q610" s="1" t="s">
        <v>46</v>
      </c>
      <c r="R610" s="1" t="s">
        <v>47</v>
      </c>
      <c r="S610" s="1" t="s">
        <v>47</v>
      </c>
      <c r="T610" s="1" t="s">
        <v>48</v>
      </c>
      <c r="U610" s="1" t="s">
        <v>47</v>
      </c>
      <c r="V610" s="1" t="s">
        <v>47</v>
      </c>
      <c r="W610" s="1" t="s">
        <v>47</v>
      </c>
      <c r="Z610" s="1">
        <v>0</v>
      </c>
      <c r="AB610" s="1" t="s">
        <v>47</v>
      </c>
      <c r="AD610" s="1">
        <v>298377</v>
      </c>
      <c r="AF610" s="1" t="s">
        <v>47</v>
      </c>
      <c r="AG610" s="1" t="s">
        <v>47</v>
      </c>
      <c r="AH610" s="1" t="s">
        <v>49</v>
      </c>
      <c r="AI610" s="1" t="s">
        <v>47</v>
      </c>
      <c r="AK610" s="1" t="s">
        <v>48</v>
      </c>
      <c r="AL610" s="1" t="s">
        <v>2011</v>
      </c>
    </row>
    <row r="611" spans="1:38">
      <c r="A611" s="1">
        <v>5138299</v>
      </c>
      <c r="B611" s="1" t="s">
        <v>2012</v>
      </c>
      <c r="C611" s="1" t="str">
        <f>"9780273770404"</f>
        <v>9780273770404</v>
      </c>
      <c r="D611" s="1" t="str">
        <f>"9780273770770"</f>
        <v>9780273770770</v>
      </c>
      <c r="E611" s="1" t="s">
        <v>52</v>
      </c>
      <c r="F611" s="1" t="s">
        <v>57</v>
      </c>
      <c r="G611" s="3">
        <v>40934</v>
      </c>
      <c r="H611" s="3">
        <v>1</v>
      </c>
      <c r="I611" s="1" t="s">
        <v>41</v>
      </c>
      <c r="J611" s="1">
        <v>2</v>
      </c>
      <c r="L611" s="1" t="s">
        <v>2010</v>
      </c>
      <c r="M611" s="1" t="s">
        <v>945</v>
      </c>
      <c r="N611" s="1" t="s">
        <v>2013</v>
      </c>
      <c r="O611" s="1">
        <v>306.7</v>
      </c>
      <c r="P611" s="1" t="s">
        <v>2014</v>
      </c>
      <c r="Q611" s="1" t="s">
        <v>46</v>
      </c>
      <c r="R611" s="1" t="s">
        <v>47</v>
      </c>
      <c r="S611" s="1" t="s">
        <v>47</v>
      </c>
      <c r="T611" s="1" t="s">
        <v>48</v>
      </c>
      <c r="U611" s="1" t="s">
        <v>47</v>
      </c>
      <c r="V611" s="1" t="s">
        <v>47</v>
      </c>
      <c r="W611" s="1" t="s">
        <v>47</v>
      </c>
      <c r="Z611" s="1">
        <v>0</v>
      </c>
      <c r="AB611" s="1" t="s">
        <v>47</v>
      </c>
      <c r="AD611" s="1">
        <v>369151</v>
      </c>
      <c r="AF611" s="1" t="s">
        <v>47</v>
      </c>
      <c r="AG611" s="1" t="s">
        <v>47</v>
      </c>
      <c r="AH611" s="1" t="s">
        <v>49</v>
      </c>
      <c r="AI611" s="1" t="s">
        <v>47</v>
      </c>
      <c r="AK611" s="1" t="s">
        <v>48</v>
      </c>
      <c r="AL611" s="1" t="s">
        <v>2015</v>
      </c>
    </row>
    <row r="612" spans="1:38">
      <c r="A612" s="1">
        <v>5138300</v>
      </c>
      <c r="B612" s="1" t="s">
        <v>2016</v>
      </c>
      <c r="C612" s="1" t="str">
        <f>"9780273770411"</f>
        <v>9780273770411</v>
      </c>
      <c r="D612" s="1" t="str">
        <f>"9780273770428"</f>
        <v>9780273770428</v>
      </c>
      <c r="E612" s="1" t="s">
        <v>52</v>
      </c>
      <c r="F612" s="1" t="s">
        <v>40</v>
      </c>
      <c r="G612" s="3">
        <v>41275</v>
      </c>
      <c r="H612" s="3">
        <v>1</v>
      </c>
      <c r="I612" s="1" t="s">
        <v>41</v>
      </c>
      <c r="J612" s="1">
        <v>4</v>
      </c>
      <c r="L612" s="1" t="s">
        <v>2017</v>
      </c>
      <c r="M612" s="1" t="s">
        <v>950</v>
      </c>
      <c r="N612" s="1" t="s">
        <v>2018</v>
      </c>
      <c r="O612" s="1">
        <v>338.6</v>
      </c>
      <c r="P612" s="1" t="s">
        <v>2019</v>
      </c>
      <c r="Q612" s="1" t="s">
        <v>46</v>
      </c>
      <c r="R612" s="1" t="s">
        <v>47</v>
      </c>
      <c r="S612" s="1" t="s">
        <v>47</v>
      </c>
      <c r="T612" s="1" t="s">
        <v>48</v>
      </c>
      <c r="U612" s="1" t="s">
        <v>47</v>
      </c>
      <c r="V612" s="1" t="s">
        <v>47</v>
      </c>
      <c r="W612" s="1" t="s">
        <v>47</v>
      </c>
      <c r="Z612" s="1">
        <v>0</v>
      </c>
      <c r="AB612" s="1" t="s">
        <v>47</v>
      </c>
      <c r="AD612" s="1">
        <v>485117</v>
      </c>
      <c r="AF612" s="1" t="s">
        <v>47</v>
      </c>
      <c r="AG612" s="1" t="s">
        <v>47</v>
      </c>
      <c r="AH612" s="1" t="s">
        <v>49</v>
      </c>
      <c r="AI612" s="1" t="s">
        <v>47</v>
      </c>
      <c r="AK612" s="1" t="s">
        <v>48</v>
      </c>
      <c r="AL612" s="1" t="s">
        <v>2020</v>
      </c>
    </row>
    <row r="613" spans="1:38">
      <c r="A613" s="1">
        <v>5138306</v>
      </c>
      <c r="B613" s="1" t="s">
        <v>2021</v>
      </c>
      <c r="C613" s="1" t="str">
        <f>"9781408272831"</f>
        <v>9781408272831</v>
      </c>
      <c r="D613" s="1" t="str">
        <f>"9781408272848"</f>
        <v>9781408272848</v>
      </c>
      <c r="E613" s="1" t="s">
        <v>52</v>
      </c>
      <c r="F613" s="1" t="s">
        <v>40</v>
      </c>
      <c r="G613" s="3">
        <v>41000</v>
      </c>
      <c r="H613" s="3">
        <v>1</v>
      </c>
      <c r="I613" s="1" t="s">
        <v>41</v>
      </c>
      <c r="J613" s="1">
        <v>4</v>
      </c>
      <c r="L613" s="1" t="s">
        <v>2022</v>
      </c>
      <c r="M613" s="1" t="s">
        <v>162</v>
      </c>
      <c r="N613" s="1" t="s">
        <v>2023</v>
      </c>
      <c r="O613" s="1">
        <v>346.42066</v>
      </c>
      <c r="P613" s="1" t="s">
        <v>2024</v>
      </c>
      <c r="Q613" s="1" t="s">
        <v>46</v>
      </c>
      <c r="R613" s="1" t="s">
        <v>47</v>
      </c>
      <c r="S613" s="1" t="s">
        <v>47</v>
      </c>
      <c r="T613" s="1" t="s">
        <v>48</v>
      </c>
      <c r="U613" s="1" t="s">
        <v>47</v>
      </c>
      <c r="V613" s="1" t="s">
        <v>47</v>
      </c>
      <c r="W613" s="1" t="s">
        <v>47</v>
      </c>
      <c r="Z613" s="1">
        <v>0</v>
      </c>
      <c r="AB613" s="1" t="s">
        <v>47</v>
      </c>
      <c r="AD613" s="1">
        <v>399612</v>
      </c>
      <c r="AF613" s="1" t="s">
        <v>47</v>
      </c>
      <c r="AG613" s="1" t="s">
        <v>47</v>
      </c>
      <c r="AH613" s="1" t="s">
        <v>49</v>
      </c>
      <c r="AI613" s="1" t="s">
        <v>47</v>
      </c>
      <c r="AK613" s="1" t="s">
        <v>48</v>
      </c>
      <c r="AL613" s="1" t="s">
        <v>2025</v>
      </c>
    </row>
    <row r="614" spans="1:38">
      <c r="A614" s="1">
        <v>5138310</v>
      </c>
      <c r="B614" s="1" t="s">
        <v>2026</v>
      </c>
      <c r="C614" s="1" t="str">
        <f>"9781292042299"</f>
        <v>9781292042299</v>
      </c>
      <c r="D614" s="1" t="str">
        <f>"9781292054216"</f>
        <v>9781292054216</v>
      </c>
      <c r="E614" s="1" t="s">
        <v>52</v>
      </c>
      <c r="F614" s="1" t="s">
        <v>40</v>
      </c>
      <c r="G614" s="3">
        <v>41579</v>
      </c>
      <c r="H614" s="3">
        <v>1</v>
      </c>
      <c r="I614" s="1" t="s">
        <v>41</v>
      </c>
      <c r="J614" s="1">
        <v>12</v>
      </c>
      <c r="L614" s="1" t="s">
        <v>2027</v>
      </c>
      <c r="M614" s="1" t="s">
        <v>1519</v>
      </c>
      <c r="O614" s="1">
        <v>551.5</v>
      </c>
      <c r="Q614" s="1" t="s">
        <v>46</v>
      </c>
      <c r="R614" s="1" t="s">
        <v>47</v>
      </c>
      <c r="S614" s="1" t="s">
        <v>47</v>
      </c>
      <c r="T614" s="1" t="s">
        <v>48</v>
      </c>
      <c r="U614" s="1" t="s">
        <v>47</v>
      </c>
      <c r="V614" s="1" t="s">
        <v>47</v>
      </c>
      <c r="W614" s="1" t="s">
        <v>47</v>
      </c>
      <c r="Z614" s="1">
        <v>0</v>
      </c>
      <c r="AB614" s="1" t="s">
        <v>47</v>
      </c>
      <c r="AD614" s="1">
        <v>543573</v>
      </c>
      <c r="AF614" s="1" t="s">
        <v>47</v>
      </c>
      <c r="AG614" s="1" t="s">
        <v>47</v>
      </c>
      <c r="AH614" s="1" t="s">
        <v>49</v>
      </c>
      <c r="AI614" s="1" t="s">
        <v>47</v>
      </c>
      <c r="AK614" s="1" t="s">
        <v>48</v>
      </c>
      <c r="AL614" s="1" t="s">
        <v>2028</v>
      </c>
    </row>
    <row r="615" spans="1:38">
      <c r="A615" s="1">
        <v>5138313</v>
      </c>
      <c r="B615" s="1" t="s">
        <v>2029</v>
      </c>
      <c r="C615" s="1" t="str">
        <f>"9781292021348"</f>
        <v>9781292021348</v>
      </c>
      <c r="D615" s="1" t="str">
        <f>"9781292034577"</f>
        <v>9781292034577</v>
      </c>
      <c r="E615" s="1" t="s">
        <v>52</v>
      </c>
      <c r="F615" s="1" t="s">
        <v>40</v>
      </c>
      <c r="G615" s="3">
        <v>41488</v>
      </c>
      <c r="H615" s="3">
        <v>1</v>
      </c>
      <c r="I615" s="1" t="s">
        <v>41</v>
      </c>
      <c r="J615" s="1">
        <v>7</v>
      </c>
      <c r="L615" s="1" t="s">
        <v>2030</v>
      </c>
      <c r="M615" s="1" t="s">
        <v>1107</v>
      </c>
      <c r="O615" s="1">
        <v>809.92820710000001</v>
      </c>
      <c r="Q615" s="1" t="s">
        <v>46</v>
      </c>
      <c r="R615" s="1" t="s">
        <v>47</v>
      </c>
      <c r="S615" s="1" t="s">
        <v>47</v>
      </c>
      <c r="T615" s="1" t="s">
        <v>48</v>
      </c>
      <c r="U615" s="1" t="s">
        <v>47</v>
      </c>
      <c r="V615" s="1" t="s">
        <v>47</v>
      </c>
      <c r="W615" s="1" t="s">
        <v>47</v>
      </c>
      <c r="Z615" s="1">
        <v>0</v>
      </c>
      <c r="AB615" s="1" t="s">
        <v>47</v>
      </c>
      <c r="AD615" s="1">
        <v>527338</v>
      </c>
      <c r="AF615" s="1" t="s">
        <v>47</v>
      </c>
      <c r="AG615" s="1" t="s">
        <v>47</v>
      </c>
      <c r="AH615" s="1" t="s">
        <v>49</v>
      </c>
      <c r="AI615" s="1" t="s">
        <v>47</v>
      </c>
      <c r="AK615" s="1" t="s">
        <v>48</v>
      </c>
      <c r="AL615" s="1" t="s">
        <v>2031</v>
      </c>
    </row>
    <row r="616" spans="1:38">
      <c r="A616" s="1">
        <v>5138320</v>
      </c>
      <c r="B616" s="1" t="s">
        <v>2032</v>
      </c>
      <c r="C616" s="1" t="str">
        <f>"9781408296028"</f>
        <v>9781408296028</v>
      </c>
      <c r="D616" s="1" t="str">
        <f>"9781408296035"</f>
        <v>9781408296035</v>
      </c>
      <c r="E616" s="1" t="s">
        <v>52</v>
      </c>
      <c r="F616" s="1" t="s">
        <v>40</v>
      </c>
      <c r="G616" s="3">
        <v>41122</v>
      </c>
      <c r="H616" s="3">
        <v>1</v>
      </c>
      <c r="I616" s="1" t="s">
        <v>41</v>
      </c>
      <c r="J616" s="1">
        <v>1</v>
      </c>
      <c r="L616" s="1" t="s">
        <v>2033</v>
      </c>
      <c r="M616" s="1" t="s">
        <v>162</v>
      </c>
      <c r="N616" s="1" t="s">
        <v>2034</v>
      </c>
      <c r="O616" s="1">
        <v>346.41107</v>
      </c>
      <c r="Q616" s="1" t="s">
        <v>46</v>
      </c>
      <c r="R616" s="1" t="s">
        <v>47</v>
      </c>
      <c r="S616" s="1" t="s">
        <v>47</v>
      </c>
      <c r="T616" s="1" t="s">
        <v>48</v>
      </c>
      <c r="U616" s="1" t="s">
        <v>47</v>
      </c>
      <c r="V616" s="1" t="s">
        <v>47</v>
      </c>
      <c r="W616" s="1" t="s">
        <v>47</v>
      </c>
      <c r="Z616" s="1">
        <v>0</v>
      </c>
      <c r="AB616" s="1" t="s">
        <v>47</v>
      </c>
      <c r="AD616" s="1">
        <v>399633</v>
      </c>
      <c r="AF616" s="1" t="s">
        <v>47</v>
      </c>
      <c r="AG616" s="1" t="s">
        <v>47</v>
      </c>
      <c r="AH616" s="1" t="s">
        <v>49</v>
      </c>
      <c r="AI616" s="1" t="s">
        <v>47</v>
      </c>
      <c r="AK616" s="1" t="s">
        <v>48</v>
      </c>
      <c r="AL616" s="1" t="s">
        <v>2035</v>
      </c>
    </row>
    <row r="617" spans="1:38">
      <c r="A617" s="1">
        <v>5138329</v>
      </c>
      <c r="B617" s="1" t="s">
        <v>2036</v>
      </c>
      <c r="C617" s="1" t="str">
        <f>"9780273722724"</f>
        <v>9780273722724</v>
      </c>
      <c r="D617" s="1" t="str">
        <f>"9780273722731"</f>
        <v>9780273722731</v>
      </c>
      <c r="E617" s="1" t="s">
        <v>52</v>
      </c>
      <c r="F617" s="1" t="s">
        <v>195</v>
      </c>
      <c r="G617" s="3">
        <v>40512</v>
      </c>
      <c r="H617" s="3">
        <v>1</v>
      </c>
      <c r="I617" s="1" t="s">
        <v>41</v>
      </c>
      <c r="J617" s="1">
        <v>1</v>
      </c>
      <c r="L617" s="1" t="s">
        <v>2037</v>
      </c>
      <c r="M617" s="1" t="s">
        <v>1156</v>
      </c>
      <c r="N617" s="1" t="s">
        <v>2038</v>
      </c>
      <c r="O617" s="1">
        <v>707.11</v>
      </c>
      <c r="P617" s="1" t="s">
        <v>2039</v>
      </c>
      <c r="Q617" s="1" t="s">
        <v>46</v>
      </c>
      <c r="R617" s="1" t="s">
        <v>47</v>
      </c>
      <c r="S617" s="1" t="s">
        <v>47</v>
      </c>
      <c r="T617" s="1" t="s">
        <v>48</v>
      </c>
      <c r="U617" s="1" t="s">
        <v>47</v>
      </c>
      <c r="V617" s="1" t="s">
        <v>47</v>
      </c>
      <c r="W617" s="1" t="s">
        <v>47</v>
      </c>
      <c r="Z617" s="1">
        <v>0</v>
      </c>
      <c r="AB617" s="1" t="s">
        <v>47</v>
      </c>
      <c r="AD617" s="1">
        <v>404671</v>
      </c>
      <c r="AF617" s="1" t="s">
        <v>47</v>
      </c>
      <c r="AG617" s="1" t="s">
        <v>47</v>
      </c>
      <c r="AH617" s="1" t="s">
        <v>49</v>
      </c>
      <c r="AI617" s="1" t="s">
        <v>47</v>
      </c>
      <c r="AK617" s="1" t="s">
        <v>48</v>
      </c>
      <c r="AL617" s="1" t="s">
        <v>2040</v>
      </c>
    </row>
    <row r="618" spans="1:38">
      <c r="A618" s="1">
        <v>5138331</v>
      </c>
      <c r="B618" s="1" t="s">
        <v>2041</v>
      </c>
      <c r="C618" s="1" t="str">
        <f>"9781292041797"</f>
        <v>9781292041797</v>
      </c>
      <c r="D618" s="1" t="str">
        <f>"9781292054247"</f>
        <v>9781292054247</v>
      </c>
      <c r="E618" s="1" t="s">
        <v>52</v>
      </c>
      <c r="F618" s="1" t="s">
        <v>40</v>
      </c>
      <c r="G618" s="3">
        <v>41579</v>
      </c>
      <c r="H618" s="3">
        <v>1</v>
      </c>
      <c r="I618" s="1" t="s">
        <v>41</v>
      </c>
      <c r="J618" s="1">
        <v>3</v>
      </c>
      <c r="L618" s="1" t="s">
        <v>2042</v>
      </c>
      <c r="M618" s="1" t="s">
        <v>54</v>
      </c>
      <c r="O618" s="1">
        <v>371.10239999999999</v>
      </c>
      <c r="Q618" s="1" t="s">
        <v>46</v>
      </c>
      <c r="R618" s="1" t="s">
        <v>47</v>
      </c>
      <c r="S618" s="1" t="s">
        <v>47</v>
      </c>
      <c r="T618" s="1" t="s">
        <v>48</v>
      </c>
      <c r="U618" s="1" t="s">
        <v>47</v>
      </c>
      <c r="V618" s="1" t="s">
        <v>47</v>
      </c>
      <c r="W618" s="1" t="s">
        <v>47</v>
      </c>
      <c r="Z618" s="1">
        <v>0</v>
      </c>
      <c r="AB618" s="1" t="s">
        <v>47</v>
      </c>
      <c r="AD618" s="1">
        <v>543584</v>
      </c>
      <c r="AF618" s="1" t="s">
        <v>47</v>
      </c>
      <c r="AG618" s="1" t="s">
        <v>47</v>
      </c>
      <c r="AH618" s="1" t="s">
        <v>49</v>
      </c>
      <c r="AI618" s="1" t="s">
        <v>47</v>
      </c>
      <c r="AK618" s="1" t="s">
        <v>48</v>
      </c>
      <c r="AL618" s="1" t="s">
        <v>2043</v>
      </c>
    </row>
    <row r="619" spans="1:38">
      <c r="A619" s="1">
        <v>5138335</v>
      </c>
      <c r="B619" s="1" t="s">
        <v>2044</v>
      </c>
      <c r="C619" s="1" t="str">
        <f>"9781292026435"</f>
        <v>9781292026435</v>
      </c>
      <c r="D619" s="1" t="str">
        <f>"9781292038827"</f>
        <v>9781292038827</v>
      </c>
      <c r="E619" s="1" t="s">
        <v>52</v>
      </c>
      <c r="F619" s="1" t="s">
        <v>40</v>
      </c>
      <c r="G619" s="3">
        <v>41515</v>
      </c>
      <c r="H619" s="3">
        <v>1</v>
      </c>
      <c r="I619" s="1" t="s">
        <v>41</v>
      </c>
      <c r="J619" s="1">
        <v>10</v>
      </c>
      <c r="L619" s="1" t="s">
        <v>2045</v>
      </c>
      <c r="Q619" s="1" t="s">
        <v>46</v>
      </c>
      <c r="R619" s="1" t="s">
        <v>47</v>
      </c>
      <c r="S619" s="1" t="s">
        <v>47</v>
      </c>
      <c r="T619" s="1" t="s">
        <v>48</v>
      </c>
      <c r="U619" s="1" t="s">
        <v>47</v>
      </c>
      <c r="V619" s="1" t="s">
        <v>47</v>
      </c>
      <c r="W619" s="1" t="s">
        <v>47</v>
      </c>
      <c r="Z619" s="1">
        <v>0</v>
      </c>
      <c r="AB619" s="1" t="s">
        <v>47</v>
      </c>
      <c r="AD619" s="1">
        <v>527135</v>
      </c>
      <c r="AF619" s="1" t="s">
        <v>47</v>
      </c>
      <c r="AG619" s="1" t="s">
        <v>47</v>
      </c>
      <c r="AH619" s="1" t="s">
        <v>49</v>
      </c>
      <c r="AI619" s="1" t="s">
        <v>47</v>
      </c>
      <c r="AK619" s="1" t="s">
        <v>48</v>
      </c>
      <c r="AL619" s="1" t="s">
        <v>2046</v>
      </c>
    </row>
    <row r="620" spans="1:38">
      <c r="A620" s="1">
        <v>5138336</v>
      </c>
      <c r="B620" s="1" t="s">
        <v>2047</v>
      </c>
      <c r="C620" s="1" t="str">
        <f>"9781292026374"</f>
        <v>9781292026374</v>
      </c>
      <c r="D620" s="1" t="str">
        <f>"9781292038766"</f>
        <v>9781292038766</v>
      </c>
      <c r="E620" s="1" t="s">
        <v>52</v>
      </c>
      <c r="F620" s="1" t="s">
        <v>40</v>
      </c>
      <c r="G620" s="3">
        <v>41515</v>
      </c>
      <c r="H620" s="3">
        <v>1</v>
      </c>
      <c r="I620" s="1" t="s">
        <v>41</v>
      </c>
      <c r="J620" s="1">
        <v>10</v>
      </c>
      <c r="L620" s="1" t="s">
        <v>2048</v>
      </c>
      <c r="Q620" s="1" t="s">
        <v>46</v>
      </c>
      <c r="R620" s="1" t="s">
        <v>47</v>
      </c>
      <c r="S620" s="1" t="s">
        <v>47</v>
      </c>
      <c r="T620" s="1" t="s">
        <v>48</v>
      </c>
      <c r="U620" s="1" t="s">
        <v>47</v>
      </c>
      <c r="V620" s="1" t="s">
        <v>47</v>
      </c>
      <c r="W620" s="1" t="s">
        <v>47</v>
      </c>
      <c r="Z620" s="1">
        <v>0</v>
      </c>
      <c r="AB620" s="1" t="s">
        <v>47</v>
      </c>
      <c r="AF620" s="1" t="s">
        <v>47</v>
      </c>
      <c r="AG620" s="1" t="s">
        <v>47</v>
      </c>
      <c r="AH620" s="1" t="s">
        <v>49</v>
      </c>
      <c r="AI620" s="1" t="s">
        <v>47</v>
      </c>
      <c r="AK620" s="1" t="s">
        <v>48</v>
      </c>
      <c r="AL620" s="1" t="s">
        <v>2049</v>
      </c>
    </row>
    <row r="621" spans="1:38">
      <c r="A621" s="1">
        <v>5138337</v>
      </c>
      <c r="B621" s="1" t="s">
        <v>2050</v>
      </c>
      <c r="C621" s="1" t="str">
        <f>"9781292026466"</f>
        <v>9781292026466</v>
      </c>
      <c r="D621" s="1" t="str">
        <f>"9781292038858"</f>
        <v>9781292038858</v>
      </c>
      <c r="E621" s="1" t="s">
        <v>52</v>
      </c>
      <c r="F621" s="1" t="s">
        <v>40</v>
      </c>
      <c r="G621" s="3">
        <v>41485</v>
      </c>
      <c r="H621" s="3">
        <v>1</v>
      </c>
      <c r="I621" s="1" t="s">
        <v>41</v>
      </c>
      <c r="J621" s="1">
        <v>7</v>
      </c>
      <c r="L621" s="1" t="s">
        <v>2051</v>
      </c>
      <c r="M621" s="1" t="s">
        <v>915</v>
      </c>
      <c r="O621" s="1">
        <v>611</v>
      </c>
      <c r="Q621" s="1" t="s">
        <v>46</v>
      </c>
      <c r="R621" s="1" t="s">
        <v>47</v>
      </c>
      <c r="S621" s="1" t="s">
        <v>47</v>
      </c>
      <c r="T621" s="1" t="s">
        <v>48</v>
      </c>
      <c r="U621" s="1" t="s">
        <v>47</v>
      </c>
      <c r="V621" s="1" t="s">
        <v>47</v>
      </c>
      <c r="W621" s="1" t="s">
        <v>47</v>
      </c>
      <c r="Z621" s="1">
        <v>0</v>
      </c>
      <c r="AB621" s="1" t="s">
        <v>47</v>
      </c>
      <c r="AD621" s="1">
        <v>527333</v>
      </c>
      <c r="AF621" s="1" t="s">
        <v>47</v>
      </c>
      <c r="AG621" s="1" t="s">
        <v>47</v>
      </c>
      <c r="AH621" s="1" t="s">
        <v>49</v>
      </c>
      <c r="AI621" s="1" t="s">
        <v>47</v>
      </c>
      <c r="AK621" s="1" t="s">
        <v>48</v>
      </c>
      <c r="AL621" s="1" t="s">
        <v>2052</v>
      </c>
    </row>
    <row r="622" spans="1:38">
      <c r="A622" s="1">
        <v>5138342</v>
      </c>
      <c r="B622" s="1" t="s">
        <v>2053</v>
      </c>
      <c r="C622" s="1" t="str">
        <f>"9781292027401"</f>
        <v>9781292027401</v>
      </c>
      <c r="D622" s="1" t="str">
        <f>"9781292054278"</f>
        <v>9781292054278</v>
      </c>
      <c r="E622" s="1" t="s">
        <v>52</v>
      </c>
      <c r="F622" s="1" t="s">
        <v>40</v>
      </c>
      <c r="G622" s="3">
        <v>41550</v>
      </c>
      <c r="H622" s="3">
        <v>1</v>
      </c>
      <c r="I622" s="1" t="s">
        <v>41</v>
      </c>
      <c r="J622" s="1">
        <v>8</v>
      </c>
      <c r="L622" s="1" t="s">
        <v>2054</v>
      </c>
      <c r="Q622" s="1" t="s">
        <v>46</v>
      </c>
      <c r="R622" s="1" t="s">
        <v>47</v>
      </c>
      <c r="S622" s="1" t="s">
        <v>47</v>
      </c>
      <c r="T622" s="1" t="s">
        <v>48</v>
      </c>
      <c r="U622" s="1" t="s">
        <v>47</v>
      </c>
      <c r="V622" s="1" t="s">
        <v>47</v>
      </c>
      <c r="W622" s="1" t="s">
        <v>47</v>
      </c>
      <c r="Z622" s="1">
        <v>0</v>
      </c>
      <c r="AB622" s="1" t="s">
        <v>47</v>
      </c>
      <c r="AD622" s="1">
        <v>543369</v>
      </c>
      <c r="AF622" s="1" t="s">
        <v>47</v>
      </c>
      <c r="AG622" s="1" t="s">
        <v>47</v>
      </c>
      <c r="AH622" s="1" t="s">
        <v>49</v>
      </c>
      <c r="AI622" s="1" t="s">
        <v>47</v>
      </c>
      <c r="AK622" s="1" t="s">
        <v>48</v>
      </c>
      <c r="AL622" s="1" t="s">
        <v>2055</v>
      </c>
    </row>
    <row r="623" spans="1:38">
      <c r="A623" s="1">
        <v>5138343</v>
      </c>
      <c r="B623" s="1" t="s">
        <v>2056</v>
      </c>
      <c r="C623" s="1" t="str">
        <f>""</f>
        <v/>
      </c>
      <c r="D623" s="1" t="str">
        <f>"9780273729211"</f>
        <v>9780273729211</v>
      </c>
      <c r="E623" s="1" t="s">
        <v>52</v>
      </c>
      <c r="F623" s="1" t="s">
        <v>157</v>
      </c>
      <c r="G623" s="3">
        <v>40807</v>
      </c>
      <c r="H623" s="3">
        <v>1</v>
      </c>
      <c r="I623" s="1" t="s">
        <v>41</v>
      </c>
      <c r="J623" s="1">
        <v>1</v>
      </c>
      <c r="L623" s="1" t="s">
        <v>2057</v>
      </c>
      <c r="Q623" s="1" t="s">
        <v>46</v>
      </c>
      <c r="R623" s="1" t="s">
        <v>47</v>
      </c>
      <c r="S623" s="1" t="s">
        <v>47</v>
      </c>
      <c r="T623" s="1" t="s">
        <v>48</v>
      </c>
      <c r="U623" s="1" t="s">
        <v>47</v>
      </c>
      <c r="V623" s="1" t="s">
        <v>47</v>
      </c>
      <c r="W623" s="1" t="s">
        <v>47</v>
      </c>
      <c r="Z623" s="1">
        <v>0</v>
      </c>
      <c r="AB623" s="1" t="s">
        <v>47</v>
      </c>
      <c r="AD623" s="1">
        <v>327533</v>
      </c>
      <c r="AF623" s="1" t="s">
        <v>47</v>
      </c>
      <c r="AG623" s="1" t="s">
        <v>47</v>
      </c>
      <c r="AH623" s="1" t="s">
        <v>49</v>
      </c>
      <c r="AI623" s="1" t="s">
        <v>47</v>
      </c>
      <c r="AK623" s="1" t="s">
        <v>48</v>
      </c>
      <c r="AL623" s="1" t="s">
        <v>2058</v>
      </c>
    </row>
    <row r="624" spans="1:38">
      <c r="A624" s="1">
        <v>5138349</v>
      </c>
      <c r="B624" s="1" t="s">
        <v>2059</v>
      </c>
      <c r="C624" s="1" t="str">
        <f>"9780273755524"</f>
        <v>9780273755524</v>
      </c>
      <c r="D624" s="1" t="str">
        <f>"9780273755593"</f>
        <v>9780273755593</v>
      </c>
      <c r="E624" s="1" t="s">
        <v>52</v>
      </c>
      <c r="F624" s="1" t="s">
        <v>40</v>
      </c>
      <c r="G624" s="3">
        <v>41375</v>
      </c>
      <c r="H624" s="3">
        <v>1</v>
      </c>
      <c r="I624" s="1" t="s">
        <v>41</v>
      </c>
      <c r="J624" s="1">
        <v>5</v>
      </c>
      <c r="L624" s="1" t="s">
        <v>2060</v>
      </c>
      <c r="M624" s="1" t="s">
        <v>100</v>
      </c>
      <c r="N624" s="1" t="s">
        <v>1620</v>
      </c>
      <c r="O624" s="1">
        <v>150</v>
      </c>
      <c r="Q624" s="1" t="s">
        <v>46</v>
      </c>
      <c r="R624" s="1" t="s">
        <v>47</v>
      </c>
      <c r="S624" s="1" t="s">
        <v>47</v>
      </c>
      <c r="T624" s="1" t="s">
        <v>48</v>
      </c>
      <c r="U624" s="1" t="s">
        <v>47</v>
      </c>
      <c r="V624" s="1" t="s">
        <v>47</v>
      </c>
      <c r="W624" s="1" t="s">
        <v>47</v>
      </c>
      <c r="Z624" s="1">
        <v>0</v>
      </c>
      <c r="AB624" s="1" t="s">
        <v>47</v>
      </c>
      <c r="AD624" s="1">
        <v>497446</v>
      </c>
      <c r="AF624" s="1" t="s">
        <v>47</v>
      </c>
      <c r="AG624" s="1" t="s">
        <v>47</v>
      </c>
      <c r="AH624" s="1" t="s">
        <v>49</v>
      </c>
      <c r="AI624" s="1" t="s">
        <v>47</v>
      </c>
      <c r="AK624" s="1" t="s">
        <v>48</v>
      </c>
      <c r="AL624" s="1" t="s">
        <v>2061</v>
      </c>
    </row>
    <row r="625" spans="1:38">
      <c r="A625" s="1">
        <v>5138350</v>
      </c>
      <c r="B625" s="1" t="s">
        <v>2062</v>
      </c>
      <c r="C625" s="1" t="str">
        <f>"9781292041803"</f>
        <v>9781292041803</v>
      </c>
      <c r="D625" s="1" t="str">
        <f>"9781292054315"</f>
        <v>9781292054315</v>
      </c>
      <c r="E625" s="1" t="s">
        <v>52</v>
      </c>
      <c r="F625" s="1" t="s">
        <v>40</v>
      </c>
      <c r="G625" s="3">
        <v>41579</v>
      </c>
      <c r="H625" s="3">
        <v>1</v>
      </c>
      <c r="I625" s="1" t="s">
        <v>41</v>
      </c>
      <c r="J625" s="1">
        <v>5</v>
      </c>
      <c r="L625" s="1" t="s">
        <v>2063</v>
      </c>
      <c r="M625" s="1" t="s">
        <v>54</v>
      </c>
      <c r="O625" s="1">
        <v>372.35043999999999</v>
      </c>
      <c r="Q625" s="1" t="s">
        <v>46</v>
      </c>
      <c r="R625" s="1" t="s">
        <v>47</v>
      </c>
      <c r="S625" s="1" t="s">
        <v>47</v>
      </c>
      <c r="T625" s="1" t="s">
        <v>48</v>
      </c>
      <c r="U625" s="1" t="s">
        <v>47</v>
      </c>
      <c r="V625" s="1" t="s">
        <v>47</v>
      </c>
      <c r="W625" s="1" t="s">
        <v>47</v>
      </c>
      <c r="Z625" s="1">
        <v>0</v>
      </c>
      <c r="AB625" s="1" t="s">
        <v>47</v>
      </c>
      <c r="AD625" s="1">
        <v>543458</v>
      </c>
      <c r="AF625" s="1" t="s">
        <v>47</v>
      </c>
      <c r="AG625" s="1" t="s">
        <v>47</v>
      </c>
      <c r="AH625" s="1" t="s">
        <v>49</v>
      </c>
      <c r="AI625" s="1" t="s">
        <v>47</v>
      </c>
      <c r="AK625" s="1" t="s">
        <v>48</v>
      </c>
      <c r="AL625" s="1" t="s">
        <v>2064</v>
      </c>
    </row>
    <row r="626" spans="1:38">
      <c r="A626" s="1">
        <v>5138352</v>
      </c>
      <c r="B626" s="1" t="s">
        <v>2065</v>
      </c>
      <c r="C626" s="1" t="str">
        <f>"9781292022871"</f>
        <v>9781292022871</v>
      </c>
      <c r="D626" s="1" t="str">
        <f>"9781292036069"</f>
        <v>9781292036069</v>
      </c>
      <c r="E626" s="1" t="s">
        <v>52</v>
      </c>
      <c r="F626" s="1" t="s">
        <v>40</v>
      </c>
      <c r="G626" s="3">
        <v>41498</v>
      </c>
      <c r="H626" s="3">
        <v>1</v>
      </c>
      <c r="I626" s="1" t="s">
        <v>41</v>
      </c>
      <c r="J626" s="1">
        <v>5</v>
      </c>
      <c r="L626" s="1" t="s">
        <v>2066</v>
      </c>
      <c r="M626" s="1" t="s">
        <v>242</v>
      </c>
      <c r="O626" s="1">
        <v>512</v>
      </c>
      <c r="Q626" s="1" t="s">
        <v>46</v>
      </c>
      <c r="R626" s="1" t="s">
        <v>47</v>
      </c>
      <c r="S626" s="1" t="s">
        <v>47</v>
      </c>
      <c r="T626" s="1" t="s">
        <v>48</v>
      </c>
      <c r="U626" s="1" t="s">
        <v>47</v>
      </c>
      <c r="V626" s="1" t="s">
        <v>47</v>
      </c>
      <c r="W626" s="1" t="s">
        <v>47</v>
      </c>
      <c r="Z626" s="1">
        <v>0</v>
      </c>
      <c r="AB626" s="1" t="s">
        <v>47</v>
      </c>
      <c r="AD626" s="1">
        <v>527087</v>
      </c>
      <c r="AF626" s="1" t="s">
        <v>47</v>
      </c>
      <c r="AG626" s="1" t="s">
        <v>47</v>
      </c>
      <c r="AH626" s="1" t="s">
        <v>49</v>
      </c>
      <c r="AI626" s="1" t="s">
        <v>47</v>
      </c>
      <c r="AK626" s="1" t="s">
        <v>48</v>
      </c>
      <c r="AL626" s="1" t="s">
        <v>2067</v>
      </c>
    </row>
    <row r="627" spans="1:38">
      <c r="A627" s="1">
        <v>5138353</v>
      </c>
      <c r="B627" s="1" t="s">
        <v>377</v>
      </c>
      <c r="C627" s="1" t="str">
        <f>"9781292024899"</f>
        <v>9781292024899</v>
      </c>
      <c r="D627" s="1" t="str">
        <f>"9781292037530"</f>
        <v>9781292037530</v>
      </c>
      <c r="E627" s="1" t="s">
        <v>52</v>
      </c>
      <c r="F627" s="1" t="s">
        <v>40</v>
      </c>
      <c r="G627" s="3">
        <v>41473</v>
      </c>
      <c r="H627" s="3">
        <v>1</v>
      </c>
      <c r="I627" s="1" t="s">
        <v>41</v>
      </c>
      <c r="J627" s="1">
        <v>6</v>
      </c>
      <c r="L627" s="1" t="s">
        <v>2066</v>
      </c>
      <c r="M627" s="1" t="s">
        <v>242</v>
      </c>
      <c r="O627" s="1">
        <v>512</v>
      </c>
      <c r="Q627" s="1" t="s">
        <v>46</v>
      </c>
      <c r="R627" s="1" t="s">
        <v>47</v>
      </c>
      <c r="S627" s="1" t="s">
        <v>47</v>
      </c>
      <c r="T627" s="1" t="s">
        <v>48</v>
      </c>
      <c r="U627" s="1" t="s">
        <v>47</v>
      </c>
      <c r="V627" s="1" t="s">
        <v>47</v>
      </c>
      <c r="W627" s="1" t="s">
        <v>47</v>
      </c>
      <c r="Z627" s="1">
        <v>0</v>
      </c>
      <c r="AB627" s="1" t="s">
        <v>47</v>
      </c>
      <c r="AD627" s="1">
        <v>527107</v>
      </c>
      <c r="AF627" s="1" t="s">
        <v>47</v>
      </c>
      <c r="AG627" s="1" t="s">
        <v>47</v>
      </c>
      <c r="AH627" s="1" t="s">
        <v>49</v>
      </c>
      <c r="AI627" s="1" t="s">
        <v>47</v>
      </c>
      <c r="AK627" s="1" t="s">
        <v>48</v>
      </c>
      <c r="AL627" s="1" t="s">
        <v>2068</v>
      </c>
    </row>
    <row r="628" spans="1:38">
      <c r="A628" s="1">
        <v>5138356</v>
      </c>
      <c r="B628" s="1" t="s">
        <v>2050</v>
      </c>
      <c r="C628" s="1" t="str">
        <f>"9781292026442"</f>
        <v>9781292026442</v>
      </c>
      <c r="D628" s="1" t="str">
        <f>"9781292038834"</f>
        <v>9781292038834</v>
      </c>
      <c r="E628" s="1" t="s">
        <v>52</v>
      </c>
      <c r="F628" s="1" t="s">
        <v>40</v>
      </c>
      <c r="G628" s="3">
        <v>41484</v>
      </c>
      <c r="H628" s="3">
        <v>1</v>
      </c>
      <c r="I628" s="1" t="s">
        <v>41</v>
      </c>
      <c r="J628" s="1">
        <v>7</v>
      </c>
      <c r="L628" s="1" t="s">
        <v>2069</v>
      </c>
      <c r="M628" s="1" t="s">
        <v>915</v>
      </c>
      <c r="O628" s="1">
        <v>612</v>
      </c>
      <c r="Q628" s="1" t="s">
        <v>46</v>
      </c>
      <c r="R628" s="1" t="s">
        <v>47</v>
      </c>
      <c r="S628" s="1" t="s">
        <v>47</v>
      </c>
      <c r="T628" s="1" t="s">
        <v>48</v>
      </c>
      <c r="U628" s="1" t="s">
        <v>47</v>
      </c>
      <c r="V628" s="1" t="s">
        <v>47</v>
      </c>
      <c r="W628" s="1" t="s">
        <v>47</v>
      </c>
      <c r="Z628" s="1">
        <v>0</v>
      </c>
      <c r="AB628" s="1" t="s">
        <v>47</v>
      </c>
      <c r="AD628" s="1">
        <v>527134</v>
      </c>
      <c r="AF628" s="1" t="s">
        <v>47</v>
      </c>
      <c r="AG628" s="1" t="s">
        <v>47</v>
      </c>
      <c r="AH628" s="1" t="s">
        <v>49</v>
      </c>
      <c r="AI628" s="1" t="s">
        <v>47</v>
      </c>
      <c r="AK628" s="1" t="s">
        <v>48</v>
      </c>
      <c r="AL628" s="1" t="s">
        <v>2070</v>
      </c>
    </row>
    <row r="629" spans="1:38">
      <c r="A629" s="1">
        <v>5138358</v>
      </c>
      <c r="B629" s="1" t="s">
        <v>2071</v>
      </c>
      <c r="C629" s="1" t="str">
        <f>"9780273728917"</f>
        <v>9780273728917</v>
      </c>
      <c r="D629" s="1" t="str">
        <f>"9780273728924"</f>
        <v>9780273728924</v>
      </c>
      <c r="E629" s="1" t="s">
        <v>52</v>
      </c>
      <c r="F629" s="1" t="s">
        <v>157</v>
      </c>
      <c r="G629" s="3">
        <v>40304</v>
      </c>
      <c r="H629" s="3">
        <v>1</v>
      </c>
      <c r="I629" s="1" t="s">
        <v>41</v>
      </c>
      <c r="J629" s="1">
        <v>2</v>
      </c>
      <c r="L629" s="1" t="s">
        <v>2072</v>
      </c>
      <c r="M629" s="1" t="s">
        <v>242</v>
      </c>
      <c r="N629" s="1" t="s">
        <v>2073</v>
      </c>
      <c r="O629" s="1">
        <v>510</v>
      </c>
      <c r="P629" s="1" t="s">
        <v>242</v>
      </c>
      <c r="Q629" s="1" t="s">
        <v>46</v>
      </c>
      <c r="R629" s="1" t="s">
        <v>47</v>
      </c>
      <c r="S629" s="1" t="s">
        <v>47</v>
      </c>
      <c r="T629" s="1" t="s">
        <v>48</v>
      </c>
      <c r="U629" s="1" t="s">
        <v>47</v>
      </c>
      <c r="V629" s="1" t="s">
        <v>47</v>
      </c>
      <c r="W629" s="1" t="s">
        <v>47</v>
      </c>
      <c r="Z629" s="1">
        <v>0</v>
      </c>
      <c r="AB629" s="1" t="s">
        <v>47</v>
      </c>
      <c r="AD629" s="1">
        <v>266408</v>
      </c>
      <c r="AF629" s="1" t="s">
        <v>47</v>
      </c>
      <c r="AG629" s="1" t="s">
        <v>47</v>
      </c>
      <c r="AH629" s="1" t="s">
        <v>49</v>
      </c>
      <c r="AI629" s="1" t="s">
        <v>47</v>
      </c>
      <c r="AK629" s="1" t="s">
        <v>48</v>
      </c>
      <c r="AL629" s="1" t="s">
        <v>2074</v>
      </c>
    </row>
    <row r="630" spans="1:38">
      <c r="A630" s="1">
        <v>5138359</v>
      </c>
      <c r="B630" s="1" t="s">
        <v>2075</v>
      </c>
      <c r="C630" s="1" t="str">
        <f>"9781408204184"</f>
        <v>9781408204184</v>
      </c>
      <c r="D630" s="1" t="str">
        <f>"9781408204214"</f>
        <v>9781408204214</v>
      </c>
      <c r="E630" s="1" t="s">
        <v>52</v>
      </c>
      <c r="F630" s="1" t="s">
        <v>40</v>
      </c>
      <c r="G630" s="3">
        <v>41499</v>
      </c>
      <c r="H630" s="3">
        <v>1</v>
      </c>
      <c r="I630" s="1" t="s">
        <v>41</v>
      </c>
      <c r="J630" s="1">
        <v>1</v>
      </c>
      <c r="L630" s="1" t="s">
        <v>2076</v>
      </c>
      <c r="M630" s="1" t="s">
        <v>162</v>
      </c>
      <c r="N630" s="1" t="s">
        <v>2077</v>
      </c>
      <c r="O630" s="1">
        <v>342.41</v>
      </c>
      <c r="P630" s="1" t="s">
        <v>2078</v>
      </c>
      <c r="Q630" s="1" t="s">
        <v>46</v>
      </c>
      <c r="R630" s="1" t="s">
        <v>47</v>
      </c>
      <c r="S630" s="1" t="s">
        <v>47</v>
      </c>
      <c r="T630" s="1" t="s">
        <v>48</v>
      </c>
      <c r="U630" s="1" t="s">
        <v>47</v>
      </c>
      <c r="V630" s="1" t="s">
        <v>47</v>
      </c>
      <c r="W630" s="1" t="s">
        <v>47</v>
      </c>
      <c r="Z630" s="1">
        <v>0</v>
      </c>
      <c r="AB630" s="1" t="s">
        <v>47</v>
      </c>
      <c r="AD630" s="1">
        <v>511607</v>
      </c>
      <c r="AF630" s="1" t="s">
        <v>47</v>
      </c>
      <c r="AG630" s="1" t="s">
        <v>47</v>
      </c>
      <c r="AH630" s="1" t="s">
        <v>49</v>
      </c>
      <c r="AI630" s="1" t="s">
        <v>47</v>
      </c>
      <c r="AK630" s="1" t="s">
        <v>48</v>
      </c>
      <c r="AL630" s="1" t="s">
        <v>2079</v>
      </c>
    </row>
    <row r="631" spans="1:38">
      <c r="A631" s="1">
        <v>5138360</v>
      </c>
      <c r="B631" s="1" t="s">
        <v>2080</v>
      </c>
      <c r="C631" s="1" t="str">
        <f>"9781292025759"</f>
        <v>9781292025759</v>
      </c>
      <c r="D631" s="1" t="str">
        <f>"9781292038179"</f>
        <v>9781292038179</v>
      </c>
      <c r="E631" s="1" t="s">
        <v>52</v>
      </c>
      <c r="F631" s="1" t="s">
        <v>40</v>
      </c>
      <c r="G631" s="3">
        <v>41478</v>
      </c>
      <c r="H631" s="3">
        <v>1</v>
      </c>
      <c r="I631" s="1" t="s">
        <v>41</v>
      </c>
      <c r="J631" s="1">
        <v>3</v>
      </c>
      <c r="L631" s="1" t="s">
        <v>2081</v>
      </c>
      <c r="M631" s="1" t="s">
        <v>1729</v>
      </c>
      <c r="O631" s="1">
        <v>628</v>
      </c>
      <c r="Q631" s="1" t="s">
        <v>46</v>
      </c>
      <c r="R631" s="1" t="s">
        <v>47</v>
      </c>
      <c r="S631" s="1" t="s">
        <v>47</v>
      </c>
      <c r="T631" s="1" t="s">
        <v>48</v>
      </c>
      <c r="U631" s="1" t="s">
        <v>47</v>
      </c>
      <c r="V631" s="1" t="s">
        <v>47</v>
      </c>
      <c r="W631" s="1" t="s">
        <v>47</v>
      </c>
      <c r="Z631" s="1">
        <v>0</v>
      </c>
      <c r="AB631" s="1" t="s">
        <v>47</v>
      </c>
      <c r="AD631" s="1">
        <v>527240</v>
      </c>
      <c r="AF631" s="1" t="s">
        <v>47</v>
      </c>
      <c r="AG631" s="1" t="s">
        <v>47</v>
      </c>
      <c r="AH631" s="1" t="s">
        <v>49</v>
      </c>
      <c r="AI631" s="1" t="s">
        <v>47</v>
      </c>
      <c r="AK631" s="1" t="s">
        <v>48</v>
      </c>
      <c r="AL631" s="1" t="s">
        <v>2082</v>
      </c>
    </row>
    <row r="632" spans="1:38">
      <c r="A632" s="1">
        <v>5138363</v>
      </c>
      <c r="B632" s="1" t="s">
        <v>2083</v>
      </c>
      <c r="C632" s="1" t="str">
        <f>"9780273704324"</f>
        <v>9780273704324</v>
      </c>
      <c r="D632" s="1" t="str">
        <f>"9780273743521"</f>
        <v>9780273743521</v>
      </c>
      <c r="E632" s="1" t="s">
        <v>52</v>
      </c>
      <c r="F632" s="1" t="s">
        <v>67</v>
      </c>
      <c r="G632" s="3">
        <v>40276</v>
      </c>
      <c r="H632" s="3">
        <v>1</v>
      </c>
      <c r="I632" s="1" t="s">
        <v>41</v>
      </c>
      <c r="J632" s="1">
        <v>4</v>
      </c>
      <c r="L632" s="1" t="s">
        <v>2084</v>
      </c>
      <c r="M632" s="1" t="s">
        <v>59</v>
      </c>
      <c r="N632" s="1" t="s">
        <v>2085</v>
      </c>
      <c r="O632" s="1">
        <v>658.404</v>
      </c>
      <c r="P632" s="1" t="s">
        <v>2086</v>
      </c>
      <c r="Q632" s="1" t="s">
        <v>46</v>
      </c>
      <c r="R632" s="1" t="s">
        <v>47</v>
      </c>
      <c r="S632" s="1" t="s">
        <v>47</v>
      </c>
      <c r="T632" s="1" t="s">
        <v>48</v>
      </c>
      <c r="U632" s="1" t="s">
        <v>47</v>
      </c>
      <c r="V632" s="1" t="s">
        <v>47</v>
      </c>
      <c r="W632" s="1" t="s">
        <v>47</v>
      </c>
      <c r="Z632" s="1">
        <v>0</v>
      </c>
      <c r="AB632" s="1" t="s">
        <v>47</v>
      </c>
      <c r="AD632" s="1">
        <v>317332</v>
      </c>
      <c r="AF632" s="1" t="s">
        <v>47</v>
      </c>
      <c r="AG632" s="1" t="s">
        <v>47</v>
      </c>
      <c r="AH632" s="1" t="s">
        <v>49</v>
      </c>
      <c r="AI632" s="1" t="s">
        <v>47</v>
      </c>
      <c r="AK632" s="1" t="s">
        <v>48</v>
      </c>
      <c r="AL632" s="1" t="s">
        <v>2087</v>
      </c>
    </row>
    <row r="633" spans="1:38">
      <c r="A633" s="1">
        <v>5138367</v>
      </c>
      <c r="B633" s="1" t="s">
        <v>2088</v>
      </c>
      <c r="C633" s="1" t="str">
        <f>"9781292039701"</f>
        <v>9781292039701</v>
      </c>
      <c r="D633" s="1" t="str">
        <f>"9781292054346"</f>
        <v>9781292054346</v>
      </c>
      <c r="E633" s="1" t="s">
        <v>52</v>
      </c>
      <c r="F633" s="1" t="s">
        <v>40</v>
      </c>
      <c r="G633" s="3">
        <v>41579</v>
      </c>
      <c r="H633" s="3">
        <v>1</v>
      </c>
      <c r="I633" s="1" t="s">
        <v>41</v>
      </c>
      <c r="J633" s="1">
        <v>1</v>
      </c>
      <c r="L633" s="1" t="s">
        <v>2089</v>
      </c>
      <c r="M633" s="1" t="s">
        <v>1633</v>
      </c>
      <c r="O633" s="1">
        <v>530.0711</v>
      </c>
      <c r="Q633" s="1" t="s">
        <v>46</v>
      </c>
      <c r="R633" s="1" t="s">
        <v>47</v>
      </c>
      <c r="S633" s="1" t="s">
        <v>47</v>
      </c>
      <c r="T633" s="1" t="s">
        <v>48</v>
      </c>
      <c r="U633" s="1" t="s">
        <v>47</v>
      </c>
      <c r="V633" s="1" t="s">
        <v>47</v>
      </c>
      <c r="W633" s="1" t="s">
        <v>47</v>
      </c>
      <c r="Z633" s="1">
        <v>0</v>
      </c>
      <c r="AB633" s="1" t="s">
        <v>47</v>
      </c>
      <c r="AD633" s="1">
        <v>543643</v>
      </c>
      <c r="AF633" s="1" t="s">
        <v>47</v>
      </c>
      <c r="AG633" s="1" t="s">
        <v>47</v>
      </c>
      <c r="AH633" s="1" t="s">
        <v>49</v>
      </c>
      <c r="AI633" s="1" t="s">
        <v>47</v>
      </c>
      <c r="AK633" s="1" t="s">
        <v>48</v>
      </c>
      <c r="AL633" s="1" t="s">
        <v>2090</v>
      </c>
    </row>
    <row r="634" spans="1:38">
      <c r="A634" s="1">
        <v>5138375</v>
      </c>
      <c r="B634" s="1" t="s">
        <v>2091</v>
      </c>
      <c r="C634" s="1" t="str">
        <f>"9781292023663"</f>
        <v>9781292023663</v>
      </c>
      <c r="D634" s="1" t="str">
        <f>"9781292036816"</f>
        <v>9781292036816</v>
      </c>
      <c r="E634" s="1" t="s">
        <v>52</v>
      </c>
      <c r="F634" s="1" t="s">
        <v>40</v>
      </c>
      <c r="G634" s="3">
        <v>41488</v>
      </c>
      <c r="H634" s="3">
        <v>1</v>
      </c>
      <c r="I634" s="1" t="s">
        <v>41</v>
      </c>
      <c r="J634" s="1">
        <v>11</v>
      </c>
      <c r="L634" s="1" t="s">
        <v>2092</v>
      </c>
      <c r="M634" s="1" t="s">
        <v>242</v>
      </c>
      <c r="O634" s="1">
        <v>519.5</v>
      </c>
      <c r="Q634" s="1" t="s">
        <v>46</v>
      </c>
      <c r="R634" s="1" t="s">
        <v>47</v>
      </c>
      <c r="S634" s="1" t="s">
        <v>47</v>
      </c>
      <c r="T634" s="1" t="s">
        <v>48</v>
      </c>
      <c r="U634" s="1" t="s">
        <v>47</v>
      </c>
      <c r="V634" s="1" t="s">
        <v>47</v>
      </c>
      <c r="W634" s="1" t="s">
        <v>47</v>
      </c>
      <c r="Z634" s="1">
        <v>0</v>
      </c>
      <c r="AB634" s="1" t="s">
        <v>47</v>
      </c>
      <c r="AD634" s="1">
        <v>527166</v>
      </c>
      <c r="AF634" s="1" t="s">
        <v>47</v>
      </c>
      <c r="AG634" s="1" t="s">
        <v>47</v>
      </c>
      <c r="AH634" s="1" t="s">
        <v>49</v>
      </c>
      <c r="AI634" s="1" t="s">
        <v>47</v>
      </c>
      <c r="AK634" s="1" t="s">
        <v>48</v>
      </c>
      <c r="AL634" s="1" t="s">
        <v>2093</v>
      </c>
    </row>
    <row r="635" spans="1:38">
      <c r="A635" s="1">
        <v>5138376</v>
      </c>
      <c r="B635" s="1" t="s">
        <v>2094</v>
      </c>
      <c r="C635" s="1" t="str">
        <f>""</f>
        <v/>
      </c>
      <c r="D635" s="1" t="str">
        <f>"9781447930136"</f>
        <v>9781447930136</v>
      </c>
      <c r="E635" s="1" t="s">
        <v>52</v>
      </c>
      <c r="F635" s="1" t="s">
        <v>365</v>
      </c>
      <c r="G635" s="3">
        <v>41339</v>
      </c>
      <c r="H635" s="3">
        <v>1</v>
      </c>
      <c r="I635" s="1" t="s">
        <v>41</v>
      </c>
      <c r="J635" s="1">
        <v>5</v>
      </c>
      <c r="L635" s="1" t="s">
        <v>2095</v>
      </c>
      <c r="Q635" s="1" t="s">
        <v>46</v>
      </c>
      <c r="R635" s="1" t="s">
        <v>47</v>
      </c>
      <c r="S635" s="1" t="s">
        <v>47</v>
      </c>
      <c r="T635" s="1" t="s">
        <v>48</v>
      </c>
      <c r="U635" s="1" t="s">
        <v>47</v>
      </c>
      <c r="V635" s="1" t="s">
        <v>47</v>
      </c>
      <c r="W635" s="1" t="s">
        <v>47</v>
      </c>
      <c r="Z635" s="1">
        <v>0</v>
      </c>
      <c r="AB635" s="1" t="s">
        <v>47</v>
      </c>
      <c r="AD635" s="1">
        <v>463077</v>
      </c>
      <c r="AF635" s="1" t="s">
        <v>47</v>
      </c>
      <c r="AG635" s="1" t="s">
        <v>47</v>
      </c>
      <c r="AH635" s="1" t="s">
        <v>49</v>
      </c>
      <c r="AI635" s="1" t="s">
        <v>47</v>
      </c>
      <c r="AK635" s="1" t="s">
        <v>48</v>
      </c>
      <c r="AL635" s="1" t="s">
        <v>2096</v>
      </c>
    </row>
    <row r="636" spans="1:38">
      <c r="A636" s="1">
        <v>5138377</v>
      </c>
      <c r="B636" s="1" t="s">
        <v>2097</v>
      </c>
      <c r="C636" s="1" t="str">
        <f>"9781292021973"</f>
        <v>9781292021973</v>
      </c>
      <c r="D636" s="1" t="str">
        <f>"9781292035185"</f>
        <v>9781292035185</v>
      </c>
      <c r="E636" s="1" t="s">
        <v>52</v>
      </c>
      <c r="F636" s="1" t="s">
        <v>40</v>
      </c>
      <c r="G636" s="3">
        <v>41488</v>
      </c>
      <c r="H636" s="3">
        <v>1</v>
      </c>
      <c r="I636" s="1" t="s">
        <v>41</v>
      </c>
      <c r="J636" s="1">
        <v>6</v>
      </c>
      <c r="L636" s="1" t="s">
        <v>2098</v>
      </c>
      <c r="M636" s="1" t="s">
        <v>54</v>
      </c>
      <c r="O636" s="1">
        <v>371.9144</v>
      </c>
      <c r="Q636" s="1" t="s">
        <v>46</v>
      </c>
      <c r="R636" s="1" t="s">
        <v>47</v>
      </c>
      <c r="S636" s="1" t="s">
        <v>47</v>
      </c>
      <c r="T636" s="1" t="s">
        <v>48</v>
      </c>
      <c r="U636" s="1" t="s">
        <v>47</v>
      </c>
      <c r="V636" s="1" t="s">
        <v>47</v>
      </c>
      <c r="W636" s="1" t="s">
        <v>47</v>
      </c>
      <c r="Z636" s="1">
        <v>0</v>
      </c>
      <c r="AB636" s="1" t="s">
        <v>47</v>
      </c>
      <c r="AD636" s="1">
        <v>527402</v>
      </c>
      <c r="AF636" s="1" t="s">
        <v>47</v>
      </c>
      <c r="AG636" s="1" t="s">
        <v>47</v>
      </c>
      <c r="AH636" s="1" t="s">
        <v>49</v>
      </c>
      <c r="AI636" s="1" t="s">
        <v>47</v>
      </c>
      <c r="AK636" s="1" t="s">
        <v>48</v>
      </c>
      <c r="AL636" s="1" t="s">
        <v>2099</v>
      </c>
    </row>
    <row r="637" spans="1:38">
      <c r="A637" s="1">
        <v>5138378</v>
      </c>
      <c r="B637" s="1" t="s">
        <v>2100</v>
      </c>
      <c r="C637" s="1" t="str">
        <f>"9781292024912"</f>
        <v>9781292024912</v>
      </c>
      <c r="D637" s="1" t="str">
        <f>"9781292037554"</f>
        <v>9781292037554</v>
      </c>
      <c r="E637" s="1" t="s">
        <v>52</v>
      </c>
      <c r="F637" s="1" t="s">
        <v>40</v>
      </c>
      <c r="G637" s="3">
        <v>41478</v>
      </c>
      <c r="H637" s="3">
        <v>1</v>
      </c>
      <c r="I637" s="1" t="s">
        <v>41</v>
      </c>
      <c r="J637" s="1">
        <v>5</v>
      </c>
      <c r="L637" s="1" t="s">
        <v>2101</v>
      </c>
      <c r="M637" s="1" t="s">
        <v>100</v>
      </c>
      <c r="O637" s="1">
        <v>155.4</v>
      </c>
      <c r="Q637" s="1" t="s">
        <v>46</v>
      </c>
      <c r="R637" s="1" t="s">
        <v>47</v>
      </c>
      <c r="S637" s="1" t="s">
        <v>47</v>
      </c>
      <c r="T637" s="1" t="s">
        <v>48</v>
      </c>
      <c r="U637" s="1" t="s">
        <v>47</v>
      </c>
      <c r="V637" s="1" t="s">
        <v>47</v>
      </c>
      <c r="W637" s="1" t="s">
        <v>47</v>
      </c>
      <c r="Z637" s="1">
        <v>0</v>
      </c>
      <c r="AB637" s="1" t="s">
        <v>47</v>
      </c>
      <c r="AF637" s="1" t="s">
        <v>47</v>
      </c>
      <c r="AG637" s="1" t="s">
        <v>47</v>
      </c>
      <c r="AH637" s="1" t="s">
        <v>49</v>
      </c>
      <c r="AI637" s="1" t="s">
        <v>47</v>
      </c>
      <c r="AK637" s="1" t="s">
        <v>48</v>
      </c>
      <c r="AL637" s="1" t="s">
        <v>2102</v>
      </c>
    </row>
    <row r="638" spans="1:38">
      <c r="A638" s="1">
        <v>5138380</v>
      </c>
      <c r="B638" s="1" t="s">
        <v>2103</v>
      </c>
      <c r="C638" s="1" t="str">
        <f>"9781408204238"</f>
        <v>9781408204238</v>
      </c>
      <c r="D638" s="1" t="str">
        <f>"9781408204276"</f>
        <v>9781408204276</v>
      </c>
      <c r="E638" s="1" t="s">
        <v>52</v>
      </c>
      <c r="F638" s="1" t="s">
        <v>688</v>
      </c>
      <c r="G638" s="3">
        <v>40513</v>
      </c>
      <c r="H638" s="3">
        <v>1</v>
      </c>
      <c r="I638" s="1" t="s">
        <v>41</v>
      </c>
      <c r="J638" s="1">
        <v>7</v>
      </c>
      <c r="L638" s="1" t="s">
        <v>2104</v>
      </c>
      <c r="M638" s="1" t="s">
        <v>1225</v>
      </c>
      <c r="N638" s="1" t="s">
        <v>2105</v>
      </c>
      <c r="O638" s="1">
        <v>636.08519999999999</v>
      </c>
      <c r="P638" s="1" t="s">
        <v>2106</v>
      </c>
      <c r="Q638" s="1" t="s">
        <v>46</v>
      </c>
      <c r="R638" s="1" t="s">
        <v>47</v>
      </c>
      <c r="S638" s="1" t="s">
        <v>47</v>
      </c>
      <c r="T638" s="1" t="s">
        <v>48</v>
      </c>
      <c r="U638" s="1" t="s">
        <v>47</v>
      </c>
      <c r="V638" s="1" t="s">
        <v>47</v>
      </c>
      <c r="W638" s="1" t="s">
        <v>47</v>
      </c>
      <c r="Z638" s="1">
        <v>0</v>
      </c>
      <c r="AB638" s="1" t="s">
        <v>47</v>
      </c>
      <c r="AF638" s="1" t="s">
        <v>47</v>
      </c>
      <c r="AG638" s="1" t="s">
        <v>47</v>
      </c>
      <c r="AH638" s="1" t="s">
        <v>49</v>
      </c>
      <c r="AI638" s="1" t="s">
        <v>47</v>
      </c>
      <c r="AK638" s="1" t="s">
        <v>48</v>
      </c>
      <c r="AL638" s="1" t="s">
        <v>2107</v>
      </c>
    </row>
    <row r="639" spans="1:38">
      <c r="A639" s="1">
        <v>5138383</v>
      </c>
      <c r="B639" s="1" t="s">
        <v>2108</v>
      </c>
      <c r="C639" s="1" t="str">
        <f>"9781292025315"</f>
        <v>9781292025315</v>
      </c>
      <c r="D639" s="1" t="str">
        <f>"9781292037875"</f>
        <v>9781292037875</v>
      </c>
      <c r="E639" s="1" t="s">
        <v>52</v>
      </c>
      <c r="F639" s="1" t="s">
        <v>40</v>
      </c>
      <c r="G639" s="3">
        <v>41472</v>
      </c>
      <c r="H639" s="3">
        <v>1</v>
      </c>
      <c r="I639" s="1" t="s">
        <v>41</v>
      </c>
      <c r="J639" s="1">
        <v>4</v>
      </c>
      <c r="L639" s="1" t="s">
        <v>2109</v>
      </c>
      <c r="M639" s="1" t="s">
        <v>372</v>
      </c>
      <c r="O639" s="1">
        <v>306.85000000000002</v>
      </c>
      <c r="Q639" s="1" t="s">
        <v>46</v>
      </c>
      <c r="R639" s="1" t="s">
        <v>47</v>
      </c>
      <c r="S639" s="1" t="s">
        <v>47</v>
      </c>
      <c r="T639" s="1" t="s">
        <v>48</v>
      </c>
      <c r="U639" s="1" t="s">
        <v>47</v>
      </c>
      <c r="V639" s="1" t="s">
        <v>47</v>
      </c>
      <c r="W639" s="1" t="s">
        <v>47</v>
      </c>
      <c r="Z639" s="1">
        <v>0</v>
      </c>
      <c r="AB639" s="1" t="s">
        <v>47</v>
      </c>
      <c r="AD639" s="1">
        <v>527241</v>
      </c>
      <c r="AF639" s="1" t="s">
        <v>47</v>
      </c>
      <c r="AG639" s="1" t="s">
        <v>47</v>
      </c>
      <c r="AH639" s="1" t="s">
        <v>49</v>
      </c>
      <c r="AI639" s="1" t="s">
        <v>47</v>
      </c>
      <c r="AK639" s="1" t="s">
        <v>48</v>
      </c>
      <c r="AL639" s="1" t="s">
        <v>2110</v>
      </c>
    </row>
    <row r="640" spans="1:38">
      <c r="A640" s="1">
        <v>5138386</v>
      </c>
      <c r="B640" s="1" t="s">
        <v>2111</v>
      </c>
      <c r="C640" s="1" t="str">
        <f>"9781292020839"</f>
        <v>9781292020839</v>
      </c>
      <c r="D640" s="1" t="str">
        <f>"9781292034089"</f>
        <v>9781292034089</v>
      </c>
      <c r="E640" s="1" t="s">
        <v>52</v>
      </c>
      <c r="F640" s="1" t="s">
        <v>40</v>
      </c>
      <c r="G640" s="3">
        <v>41473</v>
      </c>
      <c r="H640" s="3">
        <v>1</v>
      </c>
      <c r="I640" s="1" t="s">
        <v>41</v>
      </c>
      <c r="J640" s="1">
        <v>1</v>
      </c>
      <c r="L640" s="1" t="s">
        <v>2112</v>
      </c>
      <c r="M640" s="1" t="s">
        <v>1639</v>
      </c>
      <c r="O640" s="1">
        <v>530.12</v>
      </c>
      <c r="Q640" s="1" t="s">
        <v>46</v>
      </c>
      <c r="R640" s="1" t="s">
        <v>47</v>
      </c>
      <c r="S640" s="1" t="s">
        <v>47</v>
      </c>
      <c r="T640" s="1" t="s">
        <v>48</v>
      </c>
      <c r="U640" s="1" t="s">
        <v>47</v>
      </c>
      <c r="V640" s="1" t="s">
        <v>47</v>
      </c>
      <c r="W640" s="1" t="s">
        <v>47</v>
      </c>
      <c r="Z640" s="1">
        <v>0</v>
      </c>
      <c r="AB640" s="1" t="s">
        <v>47</v>
      </c>
      <c r="AD640" s="1">
        <v>527204</v>
      </c>
      <c r="AF640" s="1" t="s">
        <v>47</v>
      </c>
      <c r="AG640" s="1" t="s">
        <v>47</v>
      </c>
      <c r="AH640" s="1" t="s">
        <v>49</v>
      </c>
      <c r="AI640" s="1" t="s">
        <v>47</v>
      </c>
      <c r="AK640" s="1" t="s">
        <v>48</v>
      </c>
      <c r="AL640" s="1" t="s">
        <v>2113</v>
      </c>
    </row>
    <row r="641" spans="1:38">
      <c r="A641" s="1">
        <v>5138387</v>
      </c>
      <c r="B641" s="1" t="s">
        <v>2114</v>
      </c>
      <c r="C641" s="1" t="str">
        <f>"9781408226100"</f>
        <v>9781408226100</v>
      </c>
      <c r="D641" s="1" t="str">
        <f>"9781408226117"</f>
        <v>9781408226117</v>
      </c>
      <c r="E641" s="1" t="s">
        <v>52</v>
      </c>
      <c r="F641" s="1" t="s">
        <v>195</v>
      </c>
      <c r="G641" s="3">
        <v>40695</v>
      </c>
      <c r="H641" s="3">
        <v>1</v>
      </c>
      <c r="I641" s="1" t="s">
        <v>41</v>
      </c>
      <c r="J641" s="1">
        <v>2</v>
      </c>
      <c r="L641" s="1" t="s">
        <v>2115</v>
      </c>
      <c r="M641" s="1" t="s">
        <v>2116</v>
      </c>
      <c r="N641" s="1" t="s">
        <v>2117</v>
      </c>
      <c r="O641" s="1">
        <v>428.00243399999999</v>
      </c>
      <c r="P641" s="1" t="s">
        <v>2118</v>
      </c>
      <c r="Q641" s="1" t="s">
        <v>46</v>
      </c>
      <c r="R641" s="1" t="s">
        <v>47</v>
      </c>
      <c r="S641" s="1" t="s">
        <v>47</v>
      </c>
      <c r="T641" s="1" t="s">
        <v>48</v>
      </c>
      <c r="U641" s="1" t="s">
        <v>47</v>
      </c>
      <c r="V641" s="1" t="s">
        <v>47</v>
      </c>
      <c r="W641" s="1" t="s">
        <v>47</v>
      </c>
      <c r="Z641" s="1">
        <v>0</v>
      </c>
      <c r="AB641" s="1" t="s">
        <v>47</v>
      </c>
      <c r="AD641" s="1">
        <v>327572</v>
      </c>
      <c r="AF641" s="1" t="s">
        <v>47</v>
      </c>
      <c r="AG641" s="1" t="s">
        <v>47</v>
      </c>
      <c r="AH641" s="1" t="s">
        <v>49</v>
      </c>
      <c r="AI641" s="1" t="s">
        <v>47</v>
      </c>
      <c r="AK641" s="1" t="s">
        <v>48</v>
      </c>
      <c r="AL641" s="1" t="s">
        <v>2119</v>
      </c>
    </row>
    <row r="642" spans="1:38">
      <c r="A642" s="1">
        <v>5138397</v>
      </c>
      <c r="B642" s="1" t="s">
        <v>2120</v>
      </c>
      <c r="C642" s="1" t="str">
        <f>"9781292021324"</f>
        <v>9781292021324</v>
      </c>
      <c r="D642" s="1" t="str">
        <f>"9781292034553"</f>
        <v>9781292034553</v>
      </c>
      <c r="E642" s="1" t="s">
        <v>52</v>
      </c>
      <c r="F642" s="1" t="s">
        <v>40</v>
      </c>
      <c r="G642" s="3">
        <v>41513</v>
      </c>
      <c r="H642" s="3">
        <v>1</v>
      </c>
      <c r="I642" s="1" t="s">
        <v>41</v>
      </c>
      <c r="J642" s="1">
        <v>5</v>
      </c>
      <c r="L642" s="1" t="s">
        <v>2121</v>
      </c>
      <c r="Q642" s="1" t="s">
        <v>46</v>
      </c>
      <c r="R642" s="1" t="s">
        <v>47</v>
      </c>
      <c r="S642" s="1" t="s">
        <v>47</v>
      </c>
      <c r="T642" s="1" t="s">
        <v>48</v>
      </c>
      <c r="U642" s="1" t="s">
        <v>47</v>
      </c>
      <c r="V642" s="1" t="s">
        <v>47</v>
      </c>
      <c r="W642" s="1" t="s">
        <v>47</v>
      </c>
      <c r="Z642" s="1">
        <v>0</v>
      </c>
      <c r="AB642" s="1" t="s">
        <v>47</v>
      </c>
      <c r="AD642" s="1">
        <v>526968</v>
      </c>
      <c r="AF642" s="1" t="s">
        <v>47</v>
      </c>
      <c r="AG642" s="1" t="s">
        <v>47</v>
      </c>
      <c r="AH642" s="1" t="s">
        <v>49</v>
      </c>
      <c r="AI642" s="1" t="s">
        <v>47</v>
      </c>
      <c r="AK642" s="1" t="s">
        <v>48</v>
      </c>
      <c r="AL642" s="1" t="s">
        <v>2122</v>
      </c>
    </row>
    <row r="643" spans="1:38">
      <c r="A643" s="1">
        <v>5138398</v>
      </c>
      <c r="B643" s="1" t="s">
        <v>1174</v>
      </c>
      <c r="C643" s="1" t="str">
        <f>"9781292022673"</f>
        <v>9781292022673</v>
      </c>
      <c r="D643" s="1" t="str">
        <f>"9781292035871"</f>
        <v>9781292035871</v>
      </c>
      <c r="E643" s="1" t="s">
        <v>52</v>
      </c>
      <c r="F643" s="1" t="s">
        <v>40</v>
      </c>
      <c r="G643" s="3">
        <v>41481</v>
      </c>
      <c r="H643" s="3">
        <v>1</v>
      </c>
      <c r="I643" s="1" t="s">
        <v>41</v>
      </c>
      <c r="J643" s="1">
        <v>7</v>
      </c>
      <c r="L643" s="1" t="s">
        <v>2123</v>
      </c>
      <c r="M643" s="1" t="s">
        <v>54</v>
      </c>
      <c r="N643" s="1" t="s">
        <v>2124</v>
      </c>
      <c r="O643" s="1">
        <v>370.72</v>
      </c>
      <c r="Q643" s="1" t="s">
        <v>46</v>
      </c>
      <c r="R643" s="1" t="s">
        <v>47</v>
      </c>
      <c r="S643" s="1" t="s">
        <v>47</v>
      </c>
      <c r="T643" s="1" t="s">
        <v>48</v>
      </c>
      <c r="U643" s="1" t="s">
        <v>47</v>
      </c>
      <c r="V643" s="1" t="s">
        <v>47</v>
      </c>
      <c r="W643" s="1" t="s">
        <v>47</v>
      </c>
      <c r="Z643" s="1">
        <v>0</v>
      </c>
      <c r="AB643" s="1" t="s">
        <v>47</v>
      </c>
      <c r="AD643" s="1">
        <v>527120</v>
      </c>
      <c r="AF643" s="1" t="s">
        <v>47</v>
      </c>
      <c r="AG643" s="1" t="s">
        <v>47</v>
      </c>
      <c r="AH643" s="1" t="s">
        <v>49</v>
      </c>
      <c r="AI643" s="1" t="s">
        <v>47</v>
      </c>
      <c r="AK643" s="1" t="s">
        <v>48</v>
      </c>
      <c r="AL643" s="1" t="s">
        <v>2125</v>
      </c>
    </row>
    <row r="644" spans="1:38">
      <c r="A644" s="1">
        <v>5138401</v>
      </c>
      <c r="B644" s="1" t="s">
        <v>2126</v>
      </c>
      <c r="C644" s="1" t="str">
        <f>"9780273743798"</f>
        <v>9780273743798</v>
      </c>
      <c r="D644" s="1" t="str">
        <f>"9780273743804"</f>
        <v>9780273743804</v>
      </c>
      <c r="E644" s="1" t="s">
        <v>52</v>
      </c>
      <c r="F644" s="1" t="s">
        <v>157</v>
      </c>
      <c r="G644" s="3">
        <v>40664</v>
      </c>
      <c r="H644" s="3">
        <v>1</v>
      </c>
      <c r="I644" s="1" t="s">
        <v>41</v>
      </c>
      <c r="J644" s="1">
        <v>2</v>
      </c>
      <c r="L644" s="1" t="s">
        <v>2127</v>
      </c>
      <c r="M644" s="1" t="s">
        <v>54</v>
      </c>
      <c r="N644" s="1" t="s">
        <v>2128</v>
      </c>
      <c r="O644" s="1">
        <v>378.17028099999999</v>
      </c>
      <c r="P644" s="1" t="s">
        <v>2129</v>
      </c>
      <c r="Q644" s="1" t="s">
        <v>46</v>
      </c>
      <c r="R644" s="1" t="s">
        <v>47</v>
      </c>
      <c r="S644" s="1" t="s">
        <v>47</v>
      </c>
      <c r="T644" s="1" t="s">
        <v>48</v>
      </c>
      <c r="U644" s="1" t="s">
        <v>47</v>
      </c>
      <c r="V644" s="1" t="s">
        <v>47</v>
      </c>
      <c r="W644" s="1" t="s">
        <v>47</v>
      </c>
      <c r="Z644" s="1">
        <v>0</v>
      </c>
      <c r="AB644" s="1" t="s">
        <v>47</v>
      </c>
      <c r="AD644" s="1">
        <v>404632</v>
      </c>
      <c r="AF644" s="1" t="s">
        <v>47</v>
      </c>
      <c r="AG644" s="1" t="s">
        <v>47</v>
      </c>
      <c r="AH644" s="1" t="s">
        <v>49</v>
      </c>
      <c r="AI644" s="1" t="s">
        <v>47</v>
      </c>
      <c r="AK644" s="1" t="s">
        <v>48</v>
      </c>
      <c r="AL644" s="1" t="s">
        <v>2130</v>
      </c>
    </row>
    <row r="645" spans="1:38">
      <c r="A645" s="1">
        <v>5138402</v>
      </c>
      <c r="B645" s="1" t="s">
        <v>2131</v>
      </c>
      <c r="C645" s="1" t="str">
        <f>""</f>
        <v/>
      </c>
      <c r="D645" s="1" t="str">
        <f>"9780273743842"</f>
        <v>9780273743842</v>
      </c>
      <c r="E645" s="1" t="s">
        <v>52</v>
      </c>
      <c r="F645" s="1" t="s">
        <v>157</v>
      </c>
      <c r="G645" s="3">
        <v>41215</v>
      </c>
      <c r="H645" s="3">
        <v>1</v>
      </c>
      <c r="I645" s="1" t="s">
        <v>41</v>
      </c>
      <c r="J645" s="1">
        <v>2</v>
      </c>
      <c r="L645" s="1" t="s">
        <v>2132</v>
      </c>
      <c r="Q645" s="1" t="s">
        <v>46</v>
      </c>
      <c r="R645" s="1" t="s">
        <v>47</v>
      </c>
      <c r="S645" s="1" t="s">
        <v>47</v>
      </c>
      <c r="T645" s="1" t="s">
        <v>48</v>
      </c>
      <c r="U645" s="1" t="s">
        <v>47</v>
      </c>
      <c r="V645" s="1" t="s">
        <v>47</v>
      </c>
      <c r="W645" s="1" t="s">
        <v>47</v>
      </c>
      <c r="Z645" s="1">
        <v>0</v>
      </c>
      <c r="AB645" s="1" t="s">
        <v>47</v>
      </c>
      <c r="AD645" s="1">
        <v>404652</v>
      </c>
      <c r="AF645" s="1" t="s">
        <v>47</v>
      </c>
      <c r="AG645" s="1" t="s">
        <v>47</v>
      </c>
      <c r="AH645" s="1" t="s">
        <v>49</v>
      </c>
      <c r="AI645" s="1" t="s">
        <v>47</v>
      </c>
      <c r="AK645" s="1" t="s">
        <v>48</v>
      </c>
      <c r="AL645" s="1" t="s">
        <v>2133</v>
      </c>
    </row>
    <row r="646" spans="1:38">
      <c r="A646" s="1">
        <v>5138403</v>
      </c>
      <c r="B646" s="1" t="s">
        <v>2134</v>
      </c>
      <c r="C646" s="1" t="str">
        <f>"9780273743811"</f>
        <v>9780273743811</v>
      </c>
      <c r="D646" s="1" t="str">
        <f>"9780273743828"</f>
        <v>9780273743828</v>
      </c>
      <c r="E646" s="1" t="s">
        <v>52</v>
      </c>
      <c r="F646" s="1" t="s">
        <v>157</v>
      </c>
      <c r="G646" s="3">
        <v>40693</v>
      </c>
      <c r="H646" s="3">
        <v>1</v>
      </c>
      <c r="I646" s="1" t="s">
        <v>41</v>
      </c>
      <c r="J646" s="1">
        <v>2</v>
      </c>
      <c r="L646" s="1" t="s">
        <v>2127</v>
      </c>
      <c r="M646" s="1" t="s">
        <v>1107</v>
      </c>
      <c r="N646" s="1" t="s">
        <v>2135</v>
      </c>
      <c r="O646" s="1">
        <v>808.06637799999999</v>
      </c>
      <c r="P646" s="1" t="s">
        <v>2129</v>
      </c>
      <c r="Q646" s="1" t="s">
        <v>46</v>
      </c>
      <c r="R646" s="1" t="s">
        <v>47</v>
      </c>
      <c r="S646" s="1" t="s">
        <v>47</v>
      </c>
      <c r="T646" s="1" t="s">
        <v>48</v>
      </c>
      <c r="U646" s="1" t="s">
        <v>47</v>
      </c>
      <c r="V646" s="1" t="s">
        <v>47</v>
      </c>
      <c r="W646" s="1" t="s">
        <v>47</v>
      </c>
      <c r="Z646" s="1">
        <v>0</v>
      </c>
      <c r="AB646" s="1" t="s">
        <v>47</v>
      </c>
      <c r="AD646" s="1">
        <v>404665</v>
      </c>
      <c r="AF646" s="1" t="s">
        <v>47</v>
      </c>
      <c r="AG646" s="1" t="s">
        <v>47</v>
      </c>
      <c r="AH646" s="1" t="s">
        <v>49</v>
      </c>
      <c r="AI646" s="1" t="s">
        <v>47</v>
      </c>
      <c r="AK646" s="1" t="s">
        <v>48</v>
      </c>
      <c r="AL646" s="1" t="s">
        <v>2136</v>
      </c>
    </row>
    <row r="647" spans="1:38">
      <c r="A647" s="1">
        <v>5138406</v>
      </c>
      <c r="B647" s="1" t="s">
        <v>2137</v>
      </c>
      <c r="C647" s="1" t="str">
        <f>"9780273773917"</f>
        <v>9780273773917</v>
      </c>
      <c r="D647" s="1" t="str">
        <f>"9780273774075"</f>
        <v>9780273774075</v>
      </c>
      <c r="E647" s="1" t="s">
        <v>52</v>
      </c>
      <c r="F647" s="1" t="s">
        <v>40</v>
      </c>
      <c r="G647" s="3">
        <v>41394</v>
      </c>
      <c r="H647" s="3">
        <v>1</v>
      </c>
      <c r="I647" s="1" t="s">
        <v>41</v>
      </c>
      <c r="J647" s="1">
        <v>1</v>
      </c>
      <c r="L647" s="1" t="s">
        <v>2138</v>
      </c>
      <c r="M647" s="1" t="s">
        <v>790</v>
      </c>
      <c r="N647" s="1" t="s">
        <v>791</v>
      </c>
      <c r="O647" s="1">
        <v>808.06637799999999</v>
      </c>
      <c r="P647" s="1" t="s">
        <v>792</v>
      </c>
      <c r="Q647" s="1" t="s">
        <v>46</v>
      </c>
      <c r="R647" s="1" t="s">
        <v>47</v>
      </c>
      <c r="S647" s="1" t="s">
        <v>47</v>
      </c>
      <c r="T647" s="1" t="s">
        <v>48</v>
      </c>
      <c r="U647" s="1" t="s">
        <v>47</v>
      </c>
      <c r="V647" s="1" t="s">
        <v>47</v>
      </c>
      <c r="W647" s="1" t="s">
        <v>47</v>
      </c>
      <c r="Z647" s="1">
        <v>0</v>
      </c>
      <c r="AB647" s="1" t="s">
        <v>47</v>
      </c>
      <c r="AD647" s="1">
        <v>529993</v>
      </c>
      <c r="AF647" s="1" t="s">
        <v>47</v>
      </c>
      <c r="AG647" s="1" t="s">
        <v>47</v>
      </c>
      <c r="AH647" s="1" t="s">
        <v>49</v>
      </c>
      <c r="AI647" s="1" t="s">
        <v>47</v>
      </c>
      <c r="AK647" s="1" t="s">
        <v>48</v>
      </c>
      <c r="AL647" s="1" t="s">
        <v>2139</v>
      </c>
    </row>
    <row r="648" spans="1:38">
      <c r="A648" s="1">
        <v>5138410</v>
      </c>
      <c r="B648" s="1" t="s">
        <v>2140</v>
      </c>
      <c r="C648" s="1" t="str">
        <f>"9781292022239"</f>
        <v>9781292022239</v>
      </c>
      <c r="D648" s="1" t="str">
        <f>"9781292035437"</f>
        <v>9781292035437</v>
      </c>
      <c r="E648" s="1" t="s">
        <v>52</v>
      </c>
      <c r="F648" s="1" t="s">
        <v>40</v>
      </c>
      <c r="G648" s="3">
        <v>41513</v>
      </c>
      <c r="H648" s="3">
        <v>1</v>
      </c>
      <c r="I648" s="1" t="s">
        <v>41</v>
      </c>
      <c r="J648" s="1">
        <v>7</v>
      </c>
      <c r="L648" s="1" t="s">
        <v>2141</v>
      </c>
      <c r="Q648" s="1" t="s">
        <v>46</v>
      </c>
      <c r="R648" s="1" t="s">
        <v>47</v>
      </c>
      <c r="S648" s="1" t="s">
        <v>47</v>
      </c>
      <c r="T648" s="1" t="s">
        <v>48</v>
      </c>
      <c r="U648" s="1" t="s">
        <v>47</v>
      </c>
      <c r="V648" s="1" t="s">
        <v>47</v>
      </c>
      <c r="W648" s="1" t="s">
        <v>47</v>
      </c>
      <c r="Z648" s="1">
        <v>0</v>
      </c>
      <c r="AB648" s="1" t="s">
        <v>47</v>
      </c>
      <c r="AD648" s="1">
        <v>526990</v>
      </c>
      <c r="AF648" s="1" t="s">
        <v>47</v>
      </c>
      <c r="AG648" s="1" t="s">
        <v>47</v>
      </c>
      <c r="AH648" s="1" t="s">
        <v>49</v>
      </c>
      <c r="AI648" s="1" t="s">
        <v>47</v>
      </c>
      <c r="AK648" s="1" t="s">
        <v>48</v>
      </c>
      <c r="AL648" s="1" t="s">
        <v>2142</v>
      </c>
    </row>
    <row r="649" spans="1:38">
      <c r="A649" s="1">
        <v>5138411</v>
      </c>
      <c r="B649" s="1" t="s">
        <v>2143</v>
      </c>
      <c r="C649" s="1" t="str">
        <f>"9781292023540"</f>
        <v>9781292023540</v>
      </c>
      <c r="D649" s="1" t="str">
        <f>"9781292036717"</f>
        <v>9781292036717</v>
      </c>
      <c r="E649" s="1" t="s">
        <v>52</v>
      </c>
      <c r="F649" s="1" t="s">
        <v>40</v>
      </c>
      <c r="G649" s="3">
        <v>41473</v>
      </c>
      <c r="H649" s="3">
        <v>1</v>
      </c>
      <c r="I649" s="1" t="s">
        <v>41</v>
      </c>
      <c r="J649" s="1">
        <v>8</v>
      </c>
      <c r="L649" s="1" t="s">
        <v>2144</v>
      </c>
      <c r="M649" s="1" t="s">
        <v>59</v>
      </c>
      <c r="O649" s="1">
        <v>658.40380110000001</v>
      </c>
      <c r="Q649" s="1" t="s">
        <v>46</v>
      </c>
      <c r="R649" s="1" t="s">
        <v>47</v>
      </c>
      <c r="S649" s="1" t="s">
        <v>47</v>
      </c>
      <c r="T649" s="1" t="s">
        <v>48</v>
      </c>
      <c r="U649" s="1" t="s">
        <v>47</v>
      </c>
      <c r="V649" s="1" t="s">
        <v>47</v>
      </c>
      <c r="W649" s="1" t="s">
        <v>47</v>
      </c>
      <c r="Z649" s="1">
        <v>0</v>
      </c>
      <c r="AB649" s="1" t="s">
        <v>47</v>
      </c>
      <c r="AD649" s="1">
        <v>527413</v>
      </c>
      <c r="AF649" s="1" t="s">
        <v>47</v>
      </c>
      <c r="AG649" s="1" t="s">
        <v>47</v>
      </c>
      <c r="AH649" s="1" t="s">
        <v>49</v>
      </c>
      <c r="AI649" s="1" t="s">
        <v>47</v>
      </c>
      <c r="AK649" s="1" t="s">
        <v>48</v>
      </c>
      <c r="AL649" s="1" t="s">
        <v>2145</v>
      </c>
    </row>
    <row r="650" spans="1:38">
      <c r="A650" s="1">
        <v>5138419</v>
      </c>
      <c r="B650" s="1" t="s">
        <v>2146</v>
      </c>
      <c r="C650" s="1" t="str">
        <f>"9781292042909"</f>
        <v>9781292042909</v>
      </c>
      <c r="D650" s="1" t="str">
        <f>"9781292054414"</f>
        <v>9781292054414</v>
      </c>
      <c r="E650" s="1" t="s">
        <v>52</v>
      </c>
      <c r="F650" s="1" t="s">
        <v>40</v>
      </c>
      <c r="G650" s="3">
        <v>41537</v>
      </c>
      <c r="H650" s="3">
        <v>1</v>
      </c>
      <c r="I650" s="1" t="s">
        <v>41</v>
      </c>
      <c r="J650" s="1">
        <v>7</v>
      </c>
      <c r="L650" s="1" t="s">
        <v>2147</v>
      </c>
      <c r="M650" s="1" t="s">
        <v>242</v>
      </c>
      <c r="O650" s="1">
        <v>519.53599999999994</v>
      </c>
      <c r="Q650" s="1" t="s">
        <v>46</v>
      </c>
      <c r="R650" s="1" t="s">
        <v>47</v>
      </c>
      <c r="S650" s="1" t="s">
        <v>47</v>
      </c>
      <c r="T650" s="1" t="s">
        <v>48</v>
      </c>
      <c r="U650" s="1" t="s">
        <v>47</v>
      </c>
      <c r="V650" s="1" t="s">
        <v>47</v>
      </c>
      <c r="W650" s="1" t="s">
        <v>47</v>
      </c>
      <c r="Z650" s="1">
        <v>0</v>
      </c>
      <c r="AB650" s="1" t="s">
        <v>47</v>
      </c>
      <c r="AF650" s="1" t="s">
        <v>47</v>
      </c>
      <c r="AG650" s="1" t="s">
        <v>47</v>
      </c>
      <c r="AH650" s="1" t="s">
        <v>49</v>
      </c>
      <c r="AI650" s="1" t="s">
        <v>47</v>
      </c>
      <c r="AK650" s="1" t="s">
        <v>48</v>
      </c>
      <c r="AL650" s="1" t="s">
        <v>2148</v>
      </c>
    </row>
    <row r="651" spans="1:38">
      <c r="A651" s="1">
        <v>5138421</v>
      </c>
      <c r="B651" s="1" t="s">
        <v>2149</v>
      </c>
      <c r="C651" s="1" t="str">
        <f>"9780273737193"</f>
        <v>9780273737193</v>
      </c>
      <c r="D651" s="1" t="str">
        <f>"9780273737216"</f>
        <v>9780273737216</v>
      </c>
      <c r="E651" s="1" t="s">
        <v>52</v>
      </c>
      <c r="F651" s="1" t="s">
        <v>157</v>
      </c>
      <c r="G651" s="3">
        <v>40725</v>
      </c>
      <c r="H651" s="3">
        <v>1</v>
      </c>
      <c r="I651" s="1" t="s">
        <v>41</v>
      </c>
      <c r="J651" s="1">
        <v>1</v>
      </c>
      <c r="K651" s="1" t="s">
        <v>1539</v>
      </c>
      <c r="L651" s="1" t="s">
        <v>2150</v>
      </c>
      <c r="M651" s="1" t="s">
        <v>372</v>
      </c>
      <c r="N651" s="1" t="s">
        <v>2151</v>
      </c>
      <c r="O651" s="1">
        <v>302</v>
      </c>
      <c r="P651" s="1" t="s">
        <v>2152</v>
      </c>
      <c r="Q651" s="1" t="s">
        <v>46</v>
      </c>
      <c r="R651" s="1" t="s">
        <v>47</v>
      </c>
      <c r="S651" s="1" t="s">
        <v>47</v>
      </c>
      <c r="T651" s="1" t="s">
        <v>48</v>
      </c>
      <c r="U651" s="1" t="s">
        <v>47</v>
      </c>
      <c r="V651" s="1" t="s">
        <v>47</v>
      </c>
      <c r="W651" s="1" t="s">
        <v>47</v>
      </c>
      <c r="Z651" s="1">
        <v>0</v>
      </c>
      <c r="AB651" s="1" t="s">
        <v>47</v>
      </c>
      <c r="AD651" s="1">
        <v>333398</v>
      </c>
      <c r="AF651" s="1" t="s">
        <v>47</v>
      </c>
      <c r="AG651" s="1" t="s">
        <v>47</v>
      </c>
      <c r="AH651" s="1" t="s">
        <v>49</v>
      </c>
      <c r="AI651" s="1" t="s">
        <v>47</v>
      </c>
      <c r="AK651" s="1" t="s">
        <v>48</v>
      </c>
      <c r="AL651" s="1" t="s">
        <v>2153</v>
      </c>
    </row>
    <row r="652" spans="1:38">
      <c r="A652" s="1">
        <v>5138423</v>
      </c>
      <c r="B652" s="1" t="s">
        <v>2154</v>
      </c>
      <c r="C652" s="1" t="str">
        <f>"9781292027951"</f>
        <v>9781292027951</v>
      </c>
      <c r="D652" s="1" t="str">
        <f>"9781292054438"</f>
        <v>9781292054438</v>
      </c>
      <c r="E652" s="1" t="s">
        <v>52</v>
      </c>
      <c r="F652" s="1" t="s">
        <v>40</v>
      </c>
      <c r="G652" s="3">
        <v>41513</v>
      </c>
      <c r="H652" s="3">
        <v>1</v>
      </c>
      <c r="I652" s="1" t="s">
        <v>41</v>
      </c>
      <c r="J652" s="1">
        <v>9</v>
      </c>
      <c r="L652" s="1" t="s">
        <v>2155</v>
      </c>
      <c r="M652" s="1" t="s">
        <v>482</v>
      </c>
      <c r="O652" s="1">
        <v>616.89</v>
      </c>
      <c r="Q652" s="1" t="s">
        <v>46</v>
      </c>
      <c r="R652" s="1" t="s">
        <v>47</v>
      </c>
      <c r="S652" s="1" t="s">
        <v>47</v>
      </c>
      <c r="T652" s="1" t="s">
        <v>48</v>
      </c>
      <c r="U652" s="1" t="s">
        <v>47</v>
      </c>
      <c r="V652" s="1" t="s">
        <v>47</v>
      </c>
      <c r="W652" s="1" t="s">
        <v>47</v>
      </c>
      <c r="Z652" s="1">
        <v>0</v>
      </c>
      <c r="AB652" s="1" t="s">
        <v>47</v>
      </c>
      <c r="AD652" s="1">
        <v>543409</v>
      </c>
      <c r="AF652" s="1" t="s">
        <v>47</v>
      </c>
      <c r="AG652" s="1" t="s">
        <v>47</v>
      </c>
      <c r="AH652" s="1" t="s">
        <v>49</v>
      </c>
      <c r="AI652" s="1" t="s">
        <v>47</v>
      </c>
      <c r="AK652" s="1" t="s">
        <v>48</v>
      </c>
      <c r="AL652" s="1" t="s">
        <v>2156</v>
      </c>
    </row>
    <row r="653" spans="1:38">
      <c r="A653" s="1">
        <v>5138424</v>
      </c>
      <c r="B653" s="1" t="s">
        <v>2157</v>
      </c>
      <c r="C653" s="1" t="str">
        <f>"9781292020754"</f>
        <v>9781292020754</v>
      </c>
      <c r="D653" s="1" t="str">
        <f>"9781292034003"</f>
        <v>9781292034003</v>
      </c>
      <c r="E653" s="1" t="s">
        <v>52</v>
      </c>
      <c r="F653" s="1" t="s">
        <v>40</v>
      </c>
      <c r="G653" s="3">
        <v>41478</v>
      </c>
      <c r="H653" s="3">
        <v>1</v>
      </c>
      <c r="I653" s="1" t="s">
        <v>41</v>
      </c>
      <c r="J653" s="1">
        <v>5</v>
      </c>
      <c r="L653" s="1" t="s">
        <v>2158</v>
      </c>
      <c r="M653" s="1" t="s">
        <v>422</v>
      </c>
      <c r="O653" s="1">
        <v>546</v>
      </c>
      <c r="Q653" s="1" t="s">
        <v>46</v>
      </c>
      <c r="R653" s="1" t="s">
        <v>47</v>
      </c>
      <c r="S653" s="1" t="s">
        <v>47</v>
      </c>
      <c r="T653" s="1" t="s">
        <v>48</v>
      </c>
      <c r="U653" s="1" t="s">
        <v>47</v>
      </c>
      <c r="V653" s="1" t="s">
        <v>47</v>
      </c>
      <c r="W653" s="1" t="s">
        <v>47</v>
      </c>
      <c r="Z653" s="1">
        <v>0</v>
      </c>
      <c r="AB653" s="1" t="s">
        <v>47</v>
      </c>
      <c r="AD653" s="1">
        <v>527328</v>
      </c>
      <c r="AF653" s="1" t="s">
        <v>47</v>
      </c>
      <c r="AG653" s="1" t="s">
        <v>47</v>
      </c>
      <c r="AH653" s="1" t="s">
        <v>49</v>
      </c>
      <c r="AI653" s="1" t="s">
        <v>47</v>
      </c>
      <c r="AK653" s="1" t="s">
        <v>48</v>
      </c>
      <c r="AL653" s="1" t="s">
        <v>2159</v>
      </c>
    </row>
    <row r="654" spans="1:38">
      <c r="A654" s="1">
        <v>5138428</v>
      </c>
      <c r="B654" s="1" t="s">
        <v>2160</v>
      </c>
      <c r="C654" s="1" t="str">
        <f>"9781292025001"</f>
        <v>9781292025001</v>
      </c>
      <c r="D654" s="1" t="str">
        <f>"9781292037639"</f>
        <v>9781292037639</v>
      </c>
      <c r="E654" s="1" t="s">
        <v>52</v>
      </c>
      <c r="F654" s="1" t="s">
        <v>40</v>
      </c>
      <c r="G654" s="3">
        <v>41455</v>
      </c>
      <c r="H654" s="3">
        <v>1</v>
      </c>
      <c r="I654" s="1" t="s">
        <v>41</v>
      </c>
      <c r="J654" s="1">
        <v>8</v>
      </c>
      <c r="L654" s="1" t="s">
        <v>2161</v>
      </c>
      <c r="M654" s="1" t="s">
        <v>242</v>
      </c>
      <c r="O654" s="1">
        <v>519.5</v>
      </c>
      <c r="Q654" s="1" t="s">
        <v>46</v>
      </c>
      <c r="R654" s="1" t="s">
        <v>47</v>
      </c>
      <c r="S654" s="1" t="s">
        <v>47</v>
      </c>
      <c r="T654" s="1" t="s">
        <v>48</v>
      </c>
      <c r="U654" s="1" t="s">
        <v>47</v>
      </c>
      <c r="V654" s="1" t="s">
        <v>47</v>
      </c>
      <c r="W654" s="1" t="s">
        <v>47</v>
      </c>
      <c r="Z654" s="1">
        <v>0</v>
      </c>
      <c r="AB654" s="1" t="s">
        <v>47</v>
      </c>
      <c r="AD654" s="1">
        <v>527397</v>
      </c>
      <c r="AF654" s="1" t="s">
        <v>47</v>
      </c>
      <c r="AG654" s="1" t="s">
        <v>47</v>
      </c>
      <c r="AH654" s="1" t="s">
        <v>49</v>
      </c>
      <c r="AI654" s="1" t="s">
        <v>47</v>
      </c>
      <c r="AK654" s="1" t="s">
        <v>48</v>
      </c>
      <c r="AL654" s="1" t="s">
        <v>2162</v>
      </c>
    </row>
    <row r="655" spans="1:38">
      <c r="A655" s="1">
        <v>5138430</v>
      </c>
      <c r="B655" s="1" t="s">
        <v>2163</v>
      </c>
      <c r="C655" s="1" t="str">
        <f>"9781292040653"</f>
        <v>9781292040653</v>
      </c>
      <c r="D655" s="1" t="str">
        <f>"9781292054452"</f>
        <v>9781292054452</v>
      </c>
      <c r="E655" s="1" t="s">
        <v>52</v>
      </c>
      <c r="F655" s="1" t="s">
        <v>40</v>
      </c>
      <c r="G655" s="3">
        <v>41579</v>
      </c>
      <c r="H655" s="3">
        <v>1</v>
      </c>
      <c r="I655" s="1" t="s">
        <v>41</v>
      </c>
      <c r="J655" s="1">
        <v>17</v>
      </c>
      <c r="L655" s="1" t="s">
        <v>2164</v>
      </c>
      <c r="M655" s="1" t="s">
        <v>256</v>
      </c>
      <c r="O655" s="1">
        <v>338.5</v>
      </c>
      <c r="Q655" s="1" t="s">
        <v>46</v>
      </c>
      <c r="R655" s="1" t="s">
        <v>47</v>
      </c>
      <c r="S655" s="1" t="s">
        <v>47</v>
      </c>
      <c r="T655" s="1" t="s">
        <v>48</v>
      </c>
      <c r="U655" s="1" t="s">
        <v>47</v>
      </c>
      <c r="V655" s="1" t="s">
        <v>47</v>
      </c>
      <c r="W655" s="1" t="s">
        <v>47</v>
      </c>
      <c r="Z655" s="1">
        <v>0</v>
      </c>
      <c r="AB655" s="1" t="s">
        <v>47</v>
      </c>
      <c r="AD655" s="1">
        <v>543554</v>
      </c>
      <c r="AF655" s="1" t="s">
        <v>47</v>
      </c>
      <c r="AG655" s="1" t="s">
        <v>47</v>
      </c>
      <c r="AH655" s="1" t="s">
        <v>49</v>
      </c>
      <c r="AI655" s="1" t="s">
        <v>47</v>
      </c>
      <c r="AK655" s="1" t="s">
        <v>48</v>
      </c>
      <c r="AL655" s="1" t="s">
        <v>2165</v>
      </c>
    </row>
    <row r="656" spans="1:38">
      <c r="A656" s="1">
        <v>5138431</v>
      </c>
      <c r="B656" s="1" t="s">
        <v>2163</v>
      </c>
      <c r="C656" s="1" t="str">
        <f>"9781292040660"</f>
        <v>9781292040660</v>
      </c>
      <c r="D656" s="1" t="str">
        <f>"9781292054469"</f>
        <v>9781292054469</v>
      </c>
      <c r="E656" s="1" t="s">
        <v>52</v>
      </c>
      <c r="F656" s="1" t="s">
        <v>40</v>
      </c>
      <c r="G656" s="3">
        <v>41579</v>
      </c>
      <c r="H656" s="3">
        <v>1</v>
      </c>
      <c r="I656" s="1" t="s">
        <v>41</v>
      </c>
      <c r="J656" s="1">
        <v>17</v>
      </c>
      <c r="L656" s="1" t="s">
        <v>2164</v>
      </c>
      <c r="M656" s="1" t="s">
        <v>950</v>
      </c>
      <c r="O656" s="1">
        <v>339</v>
      </c>
      <c r="Q656" s="1" t="s">
        <v>46</v>
      </c>
      <c r="R656" s="1" t="s">
        <v>47</v>
      </c>
      <c r="S656" s="1" t="s">
        <v>47</v>
      </c>
      <c r="T656" s="1" t="s">
        <v>48</v>
      </c>
      <c r="U656" s="1" t="s">
        <v>47</v>
      </c>
      <c r="V656" s="1" t="s">
        <v>47</v>
      </c>
      <c r="W656" s="1" t="s">
        <v>47</v>
      </c>
      <c r="Z656" s="1">
        <v>0</v>
      </c>
      <c r="AB656" s="1" t="s">
        <v>47</v>
      </c>
      <c r="AD656" s="1">
        <v>543614</v>
      </c>
      <c r="AF656" s="1" t="s">
        <v>47</v>
      </c>
      <c r="AG656" s="1" t="s">
        <v>47</v>
      </c>
      <c r="AH656" s="1" t="s">
        <v>49</v>
      </c>
      <c r="AI656" s="1" t="s">
        <v>47</v>
      </c>
      <c r="AK656" s="1" t="s">
        <v>48</v>
      </c>
      <c r="AL656" s="1" t="s">
        <v>2166</v>
      </c>
    </row>
    <row r="657" spans="1:38">
      <c r="A657" s="1">
        <v>5138434</v>
      </c>
      <c r="B657" s="1" t="s">
        <v>2167</v>
      </c>
      <c r="C657" s="1" t="str">
        <f>"9781292041872"</f>
        <v>9781292041872</v>
      </c>
      <c r="D657" s="1" t="str">
        <f>"9781292054490"</f>
        <v>9781292054490</v>
      </c>
      <c r="E657" s="1" t="s">
        <v>52</v>
      </c>
      <c r="F657" s="1" t="s">
        <v>40</v>
      </c>
      <c r="G657" s="3">
        <v>41579</v>
      </c>
      <c r="H657" s="3">
        <v>1</v>
      </c>
      <c r="I657" s="1" t="s">
        <v>41</v>
      </c>
      <c r="J657" s="1">
        <v>5</v>
      </c>
      <c r="L657" s="1" t="s">
        <v>2168</v>
      </c>
      <c r="M657" s="1" t="s">
        <v>54</v>
      </c>
      <c r="O657" s="1">
        <v>370.72</v>
      </c>
      <c r="Q657" s="1" t="s">
        <v>46</v>
      </c>
      <c r="R657" s="1" t="s">
        <v>47</v>
      </c>
      <c r="S657" s="1" t="s">
        <v>47</v>
      </c>
      <c r="T657" s="1" t="s">
        <v>48</v>
      </c>
      <c r="U657" s="1" t="s">
        <v>47</v>
      </c>
      <c r="V657" s="1" t="s">
        <v>47</v>
      </c>
      <c r="W657" s="1" t="s">
        <v>47</v>
      </c>
      <c r="Z657" s="1">
        <v>0</v>
      </c>
      <c r="AB657" s="1" t="s">
        <v>47</v>
      </c>
      <c r="AD657" s="1">
        <v>543459</v>
      </c>
      <c r="AF657" s="1" t="s">
        <v>47</v>
      </c>
      <c r="AG657" s="1" t="s">
        <v>47</v>
      </c>
      <c r="AH657" s="1" t="s">
        <v>49</v>
      </c>
      <c r="AI657" s="1" t="s">
        <v>47</v>
      </c>
      <c r="AK657" s="1" t="s">
        <v>48</v>
      </c>
      <c r="AL657" s="1" t="s">
        <v>2169</v>
      </c>
    </row>
    <row r="658" spans="1:38">
      <c r="A658" s="1">
        <v>5138444</v>
      </c>
      <c r="B658" s="1" t="s">
        <v>2170</v>
      </c>
      <c r="C658" s="1" t="str">
        <f>"9781292039244"</f>
        <v>9781292039244</v>
      </c>
      <c r="D658" s="1" t="str">
        <f>"9781292054520"</f>
        <v>9781292054520</v>
      </c>
      <c r="E658" s="1" t="s">
        <v>52</v>
      </c>
      <c r="F658" s="1" t="s">
        <v>40</v>
      </c>
      <c r="G658" s="3">
        <v>41579</v>
      </c>
      <c r="H658" s="3">
        <v>1</v>
      </c>
      <c r="I658" s="1" t="s">
        <v>41</v>
      </c>
      <c r="J658" s="1">
        <v>10</v>
      </c>
      <c r="L658" s="1" t="s">
        <v>2171</v>
      </c>
      <c r="M658" s="1" t="s">
        <v>482</v>
      </c>
      <c r="O658" s="1">
        <v>616.02499999999998</v>
      </c>
      <c r="Q658" s="1" t="s">
        <v>46</v>
      </c>
      <c r="R658" s="1" t="s">
        <v>47</v>
      </c>
      <c r="S658" s="1" t="s">
        <v>47</v>
      </c>
      <c r="T658" s="1" t="s">
        <v>48</v>
      </c>
      <c r="U658" s="1" t="s">
        <v>47</v>
      </c>
      <c r="V658" s="1" t="s">
        <v>47</v>
      </c>
      <c r="W658" s="1" t="s">
        <v>47</v>
      </c>
      <c r="Z658" s="1">
        <v>0</v>
      </c>
      <c r="AB658" s="1" t="s">
        <v>47</v>
      </c>
      <c r="AD658" s="1">
        <v>543515</v>
      </c>
      <c r="AF658" s="1" t="s">
        <v>47</v>
      </c>
      <c r="AG658" s="1" t="s">
        <v>47</v>
      </c>
      <c r="AH658" s="1" t="s">
        <v>49</v>
      </c>
      <c r="AI658" s="1" t="s">
        <v>47</v>
      </c>
      <c r="AK658" s="1" t="s">
        <v>48</v>
      </c>
      <c r="AL658" s="1" t="s">
        <v>2172</v>
      </c>
    </row>
    <row r="659" spans="1:38">
      <c r="A659" s="1">
        <v>5138456</v>
      </c>
      <c r="B659" s="1" t="s">
        <v>2173</v>
      </c>
      <c r="C659" s="1" t="str">
        <f>"9781292021881"</f>
        <v>9781292021881</v>
      </c>
      <c r="D659" s="1" t="str">
        <f>"9781292035093"</f>
        <v>9781292035093</v>
      </c>
      <c r="E659" s="1" t="s">
        <v>52</v>
      </c>
      <c r="F659" s="1" t="s">
        <v>40</v>
      </c>
      <c r="G659" s="3">
        <v>41513</v>
      </c>
      <c r="H659" s="3">
        <v>1</v>
      </c>
      <c r="I659" s="1" t="s">
        <v>41</v>
      </c>
      <c r="J659" s="1">
        <v>10</v>
      </c>
      <c r="L659" s="1" t="s">
        <v>2174</v>
      </c>
      <c r="Q659" s="1" t="s">
        <v>46</v>
      </c>
      <c r="R659" s="1" t="s">
        <v>47</v>
      </c>
      <c r="S659" s="1" t="s">
        <v>47</v>
      </c>
      <c r="T659" s="1" t="s">
        <v>48</v>
      </c>
      <c r="U659" s="1" t="s">
        <v>47</v>
      </c>
      <c r="V659" s="1" t="s">
        <v>47</v>
      </c>
      <c r="W659" s="1" t="s">
        <v>47</v>
      </c>
      <c r="Z659" s="1">
        <v>0</v>
      </c>
      <c r="AB659" s="1" t="s">
        <v>47</v>
      </c>
      <c r="AD659" s="1">
        <v>527111</v>
      </c>
      <c r="AF659" s="1" t="s">
        <v>47</v>
      </c>
      <c r="AG659" s="1" t="s">
        <v>47</v>
      </c>
      <c r="AH659" s="1" t="s">
        <v>49</v>
      </c>
      <c r="AI659" s="1" t="s">
        <v>47</v>
      </c>
      <c r="AK659" s="1" t="s">
        <v>48</v>
      </c>
      <c r="AL659" s="1" t="s">
        <v>2175</v>
      </c>
    </row>
    <row r="660" spans="1:38">
      <c r="A660" s="1">
        <v>5138457</v>
      </c>
      <c r="B660" s="1" t="s">
        <v>2176</v>
      </c>
      <c r="C660" s="1" t="str">
        <f>"9781292021744"</f>
        <v>9781292021744</v>
      </c>
      <c r="D660" s="1" t="str">
        <f>"9781292034966"</f>
        <v>9781292034966</v>
      </c>
      <c r="E660" s="1" t="s">
        <v>52</v>
      </c>
      <c r="F660" s="1" t="s">
        <v>40</v>
      </c>
      <c r="G660" s="3">
        <v>41473</v>
      </c>
      <c r="H660" s="3">
        <v>1</v>
      </c>
      <c r="I660" s="1" t="s">
        <v>41</v>
      </c>
      <c r="J660" s="1">
        <v>5</v>
      </c>
      <c r="L660" s="1" t="s">
        <v>2177</v>
      </c>
      <c r="M660" s="1" t="s">
        <v>1010</v>
      </c>
      <c r="O660" s="1">
        <v>572</v>
      </c>
      <c r="Q660" s="1" t="s">
        <v>46</v>
      </c>
      <c r="R660" s="1" t="s">
        <v>47</v>
      </c>
      <c r="S660" s="1" t="s">
        <v>47</v>
      </c>
      <c r="T660" s="1" t="s">
        <v>48</v>
      </c>
      <c r="U660" s="1" t="s">
        <v>47</v>
      </c>
      <c r="V660" s="1" t="s">
        <v>47</v>
      </c>
      <c r="W660" s="1" t="s">
        <v>47</v>
      </c>
      <c r="Z660" s="1">
        <v>0</v>
      </c>
      <c r="AB660" s="1" t="s">
        <v>47</v>
      </c>
      <c r="AD660" s="1">
        <v>527025</v>
      </c>
      <c r="AF660" s="1" t="s">
        <v>47</v>
      </c>
      <c r="AG660" s="1" t="s">
        <v>47</v>
      </c>
      <c r="AH660" s="1" t="s">
        <v>49</v>
      </c>
      <c r="AI660" s="1" t="s">
        <v>47</v>
      </c>
      <c r="AK660" s="1" t="s">
        <v>48</v>
      </c>
      <c r="AL660" s="1" t="s">
        <v>2178</v>
      </c>
    </row>
    <row r="661" spans="1:38">
      <c r="A661" s="1">
        <v>5138459</v>
      </c>
      <c r="B661" s="1" t="s">
        <v>2179</v>
      </c>
      <c r="C661" s="1" t="str">
        <f>"9781292039305"</f>
        <v>9781292039305</v>
      </c>
      <c r="D661" s="1" t="str">
        <f>"9781292054544"</f>
        <v>9781292054544</v>
      </c>
      <c r="E661" s="1" t="s">
        <v>52</v>
      </c>
      <c r="F661" s="1" t="s">
        <v>40</v>
      </c>
      <c r="G661" s="3">
        <v>41579</v>
      </c>
      <c r="H661" s="3">
        <v>1</v>
      </c>
      <c r="I661" s="1" t="s">
        <v>41</v>
      </c>
      <c r="J661" s="1">
        <v>10</v>
      </c>
      <c r="L661" s="1" t="s">
        <v>2180</v>
      </c>
      <c r="M661" s="1" t="s">
        <v>100</v>
      </c>
      <c r="O661" s="1">
        <v>150</v>
      </c>
      <c r="Q661" s="1" t="s">
        <v>46</v>
      </c>
      <c r="R661" s="1" t="s">
        <v>47</v>
      </c>
      <c r="S661" s="1" t="s">
        <v>47</v>
      </c>
      <c r="T661" s="1" t="s">
        <v>48</v>
      </c>
      <c r="U661" s="1" t="s">
        <v>47</v>
      </c>
      <c r="V661" s="1" t="s">
        <v>47</v>
      </c>
      <c r="W661" s="1" t="s">
        <v>47</v>
      </c>
      <c r="Z661" s="1">
        <v>0</v>
      </c>
      <c r="AB661" s="1" t="s">
        <v>47</v>
      </c>
      <c r="AD661" s="1">
        <v>543438</v>
      </c>
      <c r="AF661" s="1" t="s">
        <v>47</v>
      </c>
      <c r="AG661" s="1" t="s">
        <v>47</v>
      </c>
      <c r="AH661" s="1" t="s">
        <v>49</v>
      </c>
      <c r="AI661" s="1" t="s">
        <v>47</v>
      </c>
      <c r="AK661" s="1" t="s">
        <v>48</v>
      </c>
      <c r="AL661" s="1" t="s">
        <v>2181</v>
      </c>
    </row>
    <row r="662" spans="1:38">
      <c r="A662" s="1">
        <v>5138462</v>
      </c>
      <c r="B662" s="1" t="s">
        <v>2182</v>
      </c>
      <c r="C662" s="1" t="str">
        <f>"9781292022383"</f>
        <v>9781292022383</v>
      </c>
      <c r="D662" s="1" t="str">
        <f>"9781292035581"</f>
        <v>9781292035581</v>
      </c>
      <c r="E662" s="1" t="s">
        <v>52</v>
      </c>
      <c r="F662" s="1" t="s">
        <v>40</v>
      </c>
      <c r="G662" s="3">
        <v>41473</v>
      </c>
      <c r="H662" s="3">
        <v>1</v>
      </c>
      <c r="I662" s="1" t="s">
        <v>41</v>
      </c>
      <c r="J662" s="1">
        <v>2</v>
      </c>
      <c r="L662" s="1" t="s">
        <v>2183</v>
      </c>
      <c r="M662" s="1" t="s">
        <v>718</v>
      </c>
      <c r="O662" s="1">
        <v>949.5</v>
      </c>
      <c r="Q662" s="1" t="s">
        <v>46</v>
      </c>
      <c r="R662" s="1" t="s">
        <v>47</v>
      </c>
      <c r="S662" s="1" t="s">
        <v>47</v>
      </c>
      <c r="T662" s="1" t="s">
        <v>48</v>
      </c>
      <c r="U662" s="1" t="s">
        <v>47</v>
      </c>
      <c r="V662" s="1" t="s">
        <v>47</v>
      </c>
      <c r="W662" s="1" t="s">
        <v>47</v>
      </c>
      <c r="Z662" s="1">
        <v>0</v>
      </c>
      <c r="AB662" s="1" t="s">
        <v>47</v>
      </c>
      <c r="AD662" s="1">
        <v>527284</v>
      </c>
      <c r="AF662" s="1" t="s">
        <v>47</v>
      </c>
      <c r="AG662" s="1" t="s">
        <v>47</v>
      </c>
      <c r="AH662" s="1" t="s">
        <v>49</v>
      </c>
      <c r="AI662" s="1" t="s">
        <v>47</v>
      </c>
      <c r="AK662" s="1" t="s">
        <v>48</v>
      </c>
      <c r="AL662" s="1" t="s">
        <v>2184</v>
      </c>
    </row>
    <row r="663" spans="1:38">
      <c r="A663" s="1">
        <v>5138465</v>
      </c>
      <c r="B663" s="1" t="s">
        <v>2185</v>
      </c>
      <c r="C663" s="1" t="str">
        <f>"9781292020099"</f>
        <v>9781292020099</v>
      </c>
      <c r="D663" s="1" t="str">
        <f>"9781292033587"</f>
        <v>9781292033587</v>
      </c>
      <c r="E663" s="1" t="s">
        <v>52</v>
      </c>
      <c r="F663" s="1" t="s">
        <v>40</v>
      </c>
      <c r="G663" s="3">
        <v>41484</v>
      </c>
      <c r="H663" s="3">
        <v>1</v>
      </c>
      <c r="I663" s="1" t="s">
        <v>41</v>
      </c>
      <c r="J663" s="1">
        <v>7</v>
      </c>
      <c r="L663" s="1" t="s">
        <v>2186</v>
      </c>
      <c r="M663" s="1" t="s">
        <v>54</v>
      </c>
      <c r="O663" s="1">
        <v>372.60973000000001</v>
      </c>
      <c r="Q663" s="1" t="s">
        <v>46</v>
      </c>
      <c r="R663" s="1" t="s">
        <v>47</v>
      </c>
      <c r="S663" s="1" t="s">
        <v>47</v>
      </c>
      <c r="T663" s="1" t="s">
        <v>48</v>
      </c>
      <c r="U663" s="1" t="s">
        <v>47</v>
      </c>
      <c r="V663" s="1" t="s">
        <v>47</v>
      </c>
      <c r="W663" s="1" t="s">
        <v>47</v>
      </c>
      <c r="Z663" s="1">
        <v>0</v>
      </c>
      <c r="AB663" s="1" t="s">
        <v>47</v>
      </c>
      <c r="AD663" s="1">
        <v>526929</v>
      </c>
      <c r="AF663" s="1" t="s">
        <v>47</v>
      </c>
      <c r="AG663" s="1" t="s">
        <v>47</v>
      </c>
      <c r="AH663" s="1" t="s">
        <v>49</v>
      </c>
      <c r="AI663" s="1" t="s">
        <v>47</v>
      </c>
      <c r="AK663" s="1" t="s">
        <v>48</v>
      </c>
      <c r="AL663" s="1" t="s">
        <v>2187</v>
      </c>
    </row>
    <row r="664" spans="1:38">
      <c r="A664" s="1">
        <v>5138469</v>
      </c>
      <c r="B664" s="1" t="s">
        <v>2188</v>
      </c>
      <c r="C664" s="1" t="str">
        <f>"9781292026381"</f>
        <v>9781292026381</v>
      </c>
      <c r="D664" s="1" t="str">
        <f>"9781292038773"</f>
        <v>9781292038773</v>
      </c>
      <c r="E664" s="1" t="s">
        <v>52</v>
      </c>
      <c r="F664" s="1" t="s">
        <v>40</v>
      </c>
      <c r="G664" s="3">
        <v>41481</v>
      </c>
      <c r="H664" s="3">
        <v>1</v>
      </c>
      <c r="I664" s="1" t="s">
        <v>41</v>
      </c>
      <c r="J664" s="1">
        <v>2</v>
      </c>
      <c r="L664" s="1" t="s">
        <v>2189</v>
      </c>
      <c r="M664" s="1" t="s">
        <v>690</v>
      </c>
      <c r="O664" s="1">
        <v>571.1</v>
      </c>
      <c r="Q664" s="1" t="s">
        <v>46</v>
      </c>
      <c r="R664" s="1" t="s">
        <v>47</v>
      </c>
      <c r="S664" s="1" t="s">
        <v>47</v>
      </c>
      <c r="T664" s="1" t="s">
        <v>48</v>
      </c>
      <c r="U664" s="1" t="s">
        <v>47</v>
      </c>
      <c r="V664" s="1" t="s">
        <v>47</v>
      </c>
      <c r="W664" s="1" t="s">
        <v>47</v>
      </c>
      <c r="Z664" s="1">
        <v>0</v>
      </c>
      <c r="AB664" s="1" t="s">
        <v>47</v>
      </c>
      <c r="AD664" s="1">
        <v>527335</v>
      </c>
      <c r="AF664" s="1" t="s">
        <v>47</v>
      </c>
      <c r="AG664" s="1" t="s">
        <v>47</v>
      </c>
      <c r="AH664" s="1" t="s">
        <v>49</v>
      </c>
      <c r="AI664" s="1" t="s">
        <v>47</v>
      </c>
      <c r="AK664" s="1" t="s">
        <v>48</v>
      </c>
      <c r="AL664" s="1" t="s">
        <v>2190</v>
      </c>
    </row>
    <row r="665" spans="1:38">
      <c r="A665" s="1">
        <v>5138474</v>
      </c>
      <c r="B665" s="1" t="s">
        <v>2191</v>
      </c>
      <c r="C665" s="1" t="str">
        <f>"9781292023625"</f>
        <v>9781292023625</v>
      </c>
      <c r="D665" s="1" t="str">
        <f>"9781292036786"</f>
        <v>9781292036786</v>
      </c>
      <c r="E665" s="1" t="s">
        <v>52</v>
      </c>
      <c r="F665" s="1" t="s">
        <v>40</v>
      </c>
      <c r="G665" s="3">
        <v>41479</v>
      </c>
      <c r="H665" s="3">
        <v>1</v>
      </c>
      <c r="I665" s="1" t="s">
        <v>41</v>
      </c>
      <c r="J665" s="1">
        <v>2</v>
      </c>
      <c r="L665" s="1" t="s">
        <v>2192</v>
      </c>
      <c r="M665" s="1" t="s">
        <v>242</v>
      </c>
      <c r="O665" s="1">
        <v>514</v>
      </c>
      <c r="Q665" s="1" t="s">
        <v>46</v>
      </c>
      <c r="R665" s="1" t="s">
        <v>47</v>
      </c>
      <c r="S665" s="1" t="s">
        <v>47</v>
      </c>
      <c r="T665" s="1" t="s">
        <v>48</v>
      </c>
      <c r="U665" s="1" t="s">
        <v>47</v>
      </c>
      <c r="V665" s="1" t="s">
        <v>47</v>
      </c>
      <c r="W665" s="1" t="s">
        <v>47</v>
      </c>
      <c r="Z665" s="1">
        <v>0</v>
      </c>
      <c r="AB665" s="1" t="s">
        <v>47</v>
      </c>
      <c r="AD665" s="1">
        <v>527323</v>
      </c>
      <c r="AF665" s="1" t="s">
        <v>47</v>
      </c>
      <c r="AG665" s="1" t="s">
        <v>47</v>
      </c>
      <c r="AH665" s="1" t="s">
        <v>49</v>
      </c>
      <c r="AI665" s="1" t="s">
        <v>47</v>
      </c>
      <c r="AK665" s="1" t="s">
        <v>48</v>
      </c>
      <c r="AL665" s="1" t="s">
        <v>2193</v>
      </c>
    </row>
    <row r="666" spans="1:38">
      <c r="A666" s="1">
        <v>5138475</v>
      </c>
      <c r="B666" s="1" t="s">
        <v>2194</v>
      </c>
      <c r="C666" s="1" t="str">
        <f>"9781292021751"</f>
        <v>9781292021751</v>
      </c>
      <c r="D666" s="1" t="str">
        <f>"9781292034973"</f>
        <v>9781292034973</v>
      </c>
      <c r="E666" s="1" t="s">
        <v>52</v>
      </c>
      <c r="F666" s="1" t="s">
        <v>40</v>
      </c>
      <c r="G666" s="3">
        <v>41492</v>
      </c>
      <c r="H666" s="3">
        <v>1</v>
      </c>
      <c r="I666" s="1" t="s">
        <v>41</v>
      </c>
      <c r="J666" s="1">
        <v>10</v>
      </c>
      <c r="L666" s="1" t="s">
        <v>2195</v>
      </c>
      <c r="M666" s="1" t="s">
        <v>59</v>
      </c>
      <c r="O666" s="1">
        <v>658.45</v>
      </c>
      <c r="Q666" s="1" t="s">
        <v>46</v>
      </c>
      <c r="R666" s="1" t="s">
        <v>47</v>
      </c>
      <c r="S666" s="1" t="s">
        <v>47</v>
      </c>
      <c r="T666" s="1" t="s">
        <v>48</v>
      </c>
      <c r="U666" s="1" t="s">
        <v>47</v>
      </c>
      <c r="V666" s="1" t="s">
        <v>47</v>
      </c>
      <c r="W666" s="1" t="s">
        <v>47</v>
      </c>
      <c r="Z666" s="1">
        <v>0</v>
      </c>
      <c r="AB666" s="1" t="s">
        <v>47</v>
      </c>
      <c r="AD666" s="1">
        <v>527216</v>
      </c>
      <c r="AF666" s="1" t="s">
        <v>47</v>
      </c>
      <c r="AG666" s="1" t="s">
        <v>47</v>
      </c>
      <c r="AH666" s="1" t="s">
        <v>49</v>
      </c>
      <c r="AI666" s="1" t="s">
        <v>47</v>
      </c>
      <c r="AK666" s="1" t="s">
        <v>48</v>
      </c>
      <c r="AL666" s="1" t="s">
        <v>2196</v>
      </c>
    </row>
    <row r="667" spans="1:38">
      <c r="A667" s="1">
        <v>5138485</v>
      </c>
      <c r="B667" s="1" t="s">
        <v>2197</v>
      </c>
      <c r="C667" s="1" t="str">
        <f>"9781292023823"</f>
        <v>9781292023823</v>
      </c>
      <c r="D667" s="1" t="str">
        <f>"9781292036953"</f>
        <v>9781292036953</v>
      </c>
      <c r="E667" s="1" t="s">
        <v>52</v>
      </c>
      <c r="F667" s="1" t="s">
        <v>40</v>
      </c>
      <c r="G667" s="3">
        <v>41472</v>
      </c>
      <c r="H667" s="3">
        <v>1</v>
      </c>
      <c r="I667" s="1" t="s">
        <v>41</v>
      </c>
      <c r="J667" s="1">
        <v>8</v>
      </c>
      <c r="L667" s="1" t="s">
        <v>2198</v>
      </c>
      <c r="M667" s="1" t="s">
        <v>242</v>
      </c>
      <c r="O667" s="1">
        <v>515.35</v>
      </c>
      <c r="Q667" s="1" t="s">
        <v>46</v>
      </c>
      <c r="R667" s="1" t="s">
        <v>47</v>
      </c>
      <c r="S667" s="1" t="s">
        <v>47</v>
      </c>
      <c r="T667" s="1" t="s">
        <v>48</v>
      </c>
      <c r="U667" s="1" t="s">
        <v>47</v>
      </c>
      <c r="V667" s="1" t="s">
        <v>47</v>
      </c>
      <c r="W667" s="1" t="s">
        <v>47</v>
      </c>
      <c r="Z667" s="1">
        <v>0</v>
      </c>
      <c r="AB667" s="1" t="s">
        <v>47</v>
      </c>
      <c r="AD667" s="1">
        <v>527106</v>
      </c>
      <c r="AF667" s="1" t="s">
        <v>47</v>
      </c>
      <c r="AG667" s="1" t="s">
        <v>47</v>
      </c>
      <c r="AH667" s="1" t="s">
        <v>49</v>
      </c>
      <c r="AI667" s="1" t="s">
        <v>47</v>
      </c>
      <c r="AK667" s="1" t="s">
        <v>48</v>
      </c>
      <c r="AL667" s="1" t="s">
        <v>2199</v>
      </c>
    </row>
    <row r="668" spans="1:38">
      <c r="A668" s="1">
        <v>5138491</v>
      </c>
      <c r="B668" s="1" t="s">
        <v>2200</v>
      </c>
      <c r="C668" s="1" t="str">
        <f>"9781408225745"</f>
        <v>9781408225745</v>
      </c>
      <c r="D668" s="1" t="str">
        <f>"9781408225752"</f>
        <v>9781408225752</v>
      </c>
      <c r="E668" s="1" t="s">
        <v>52</v>
      </c>
      <c r="F668" s="1" t="s">
        <v>361</v>
      </c>
      <c r="G668" s="3">
        <v>40682</v>
      </c>
      <c r="H668" s="3">
        <v>1</v>
      </c>
      <c r="I668" s="1" t="s">
        <v>41</v>
      </c>
      <c r="J668" s="1">
        <v>3</v>
      </c>
      <c r="L668" s="1" t="s">
        <v>2201</v>
      </c>
      <c r="M668" s="1" t="s">
        <v>556</v>
      </c>
      <c r="N668" s="1" t="s">
        <v>2202</v>
      </c>
      <c r="O668" s="1">
        <v>6.3</v>
      </c>
      <c r="P668" s="1" t="s">
        <v>2203</v>
      </c>
      <c r="Q668" s="1" t="s">
        <v>46</v>
      </c>
      <c r="R668" s="1" t="s">
        <v>47</v>
      </c>
      <c r="S668" s="1" t="s">
        <v>47</v>
      </c>
      <c r="T668" s="1" t="s">
        <v>48</v>
      </c>
      <c r="U668" s="1" t="s">
        <v>47</v>
      </c>
      <c r="V668" s="1" t="s">
        <v>47</v>
      </c>
      <c r="W668" s="1" t="s">
        <v>47</v>
      </c>
      <c r="Z668" s="1">
        <v>0</v>
      </c>
      <c r="AB668" s="1" t="s">
        <v>47</v>
      </c>
      <c r="AD668" s="1">
        <v>333413</v>
      </c>
      <c r="AF668" s="1" t="s">
        <v>47</v>
      </c>
      <c r="AG668" s="1" t="s">
        <v>47</v>
      </c>
      <c r="AH668" s="1" t="s">
        <v>49</v>
      </c>
      <c r="AI668" s="1" t="s">
        <v>47</v>
      </c>
      <c r="AK668" s="1" t="s">
        <v>48</v>
      </c>
      <c r="AL668" s="1" t="s">
        <v>2204</v>
      </c>
    </row>
    <row r="669" spans="1:38">
      <c r="A669" s="1">
        <v>5138492</v>
      </c>
      <c r="B669" s="1" t="s">
        <v>2205</v>
      </c>
      <c r="C669" s="1" t="str">
        <f>"9781292027685"</f>
        <v>9781292027685</v>
      </c>
      <c r="D669" s="1" t="str">
        <f>"9781292054599"</f>
        <v>9781292054599</v>
      </c>
      <c r="E669" s="1" t="s">
        <v>52</v>
      </c>
      <c r="F669" s="1" t="s">
        <v>40</v>
      </c>
      <c r="G669" s="3">
        <v>41579</v>
      </c>
      <c r="H669" s="3">
        <v>1</v>
      </c>
      <c r="I669" s="1" t="s">
        <v>41</v>
      </c>
      <c r="J669" s="1">
        <v>7</v>
      </c>
      <c r="L669" s="1" t="s">
        <v>2206</v>
      </c>
      <c r="M669" s="1" t="s">
        <v>1225</v>
      </c>
      <c r="O669" s="1">
        <v>635.98230000000001</v>
      </c>
      <c r="Q669" s="1" t="s">
        <v>46</v>
      </c>
      <c r="R669" s="1" t="s">
        <v>47</v>
      </c>
      <c r="S669" s="1" t="s">
        <v>47</v>
      </c>
      <c r="T669" s="1" t="s">
        <v>48</v>
      </c>
      <c r="U669" s="1" t="s">
        <v>47</v>
      </c>
      <c r="V669" s="1" t="s">
        <v>47</v>
      </c>
      <c r="W669" s="1" t="s">
        <v>47</v>
      </c>
      <c r="Z669" s="1">
        <v>0</v>
      </c>
      <c r="AB669" s="1" t="s">
        <v>47</v>
      </c>
      <c r="AD669" s="1">
        <v>543530</v>
      </c>
      <c r="AF669" s="1" t="s">
        <v>47</v>
      </c>
      <c r="AG669" s="1" t="s">
        <v>47</v>
      </c>
      <c r="AH669" s="1" t="s">
        <v>49</v>
      </c>
      <c r="AI669" s="1" t="s">
        <v>47</v>
      </c>
      <c r="AK669" s="1" t="s">
        <v>48</v>
      </c>
      <c r="AL669" s="1" t="s">
        <v>2207</v>
      </c>
    </row>
    <row r="670" spans="1:38">
      <c r="A670" s="1">
        <v>5138493</v>
      </c>
      <c r="B670" s="1" t="s">
        <v>2208</v>
      </c>
      <c r="C670" s="1" t="str">
        <f>"9781292022260"</f>
        <v>9781292022260</v>
      </c>
      <c r="D670" s="1" t="str">
        <f>"9781292035468"</f>
        <v>9781292035468</v>
      </c>
      <c r="E670" s="1" t="s">
        <v>52</v>
      </c>
      <c r="F670" s="1" t="s">
        <v>40</v>
      </c>
      <c r="G670" s="3">
        <v>41478</v>
      </c>
      <c r="H670" s="3">
        <v>1</v>
      </c>
      <c r="I670" s="1" t="s">
        <v>41</v>
      </c>
      <c r="J670" s="1">
        <v>3</v>
      </c>
      <c r="L670" s="1" t="s">
        <v>2209</v>
      </c>
      <c r="M670" s="1" t="s">
        <v>242</v>
      </c>
      <c r="O670" s="1">
        <v>515</v>
      </c>
      <c r="Q670" s="1" t="s">
        <v>46</v>
      </c>
      <c r="R670" s="1" t="s">
        <v>47</v>
      </c>
      <c r="S670" s="1" t="s">
        <v>47</v>
      </c>
      <c r="T670" s="1" t="s">
        <v>48</v>
      </c>
      <c r="U670" s="1" t="s">
        <v>47</v>
      </c>
      <c r="V670" s="1" t="s">
        <v>47</v>
      </c>
      <c r="W670" s="1" t="s">
        <v>47</v>
      </c>
      <c r="Z670" s="1">
        <v>0</v>
      </c>
      <c r="AB670" s="1" t="s">
        <v>47</v>
      </c>
      <c r="AD670" s="1">
        <v>527291</v>
      </c>
      <c r="AF670" s="1" t="s">
        <v>47</v>
      </c>
      <c r="AG670" s="1" t="s">
        <v>47</v>
      </c>
      <c r="AH670" s="1" t="s">
        <v>49</v>
      </c>
      <c r="AI670" s="1" t="s">
        <v>47</v>
      </c>
      <c r="AK670" s="1" t="s">
        <v>48</v>
      </c>
      <c r="AL670" s="1" t="s">
        <v>2210</v>
      </c>
    </row>
    <row r="671" spans="1:38">
      <c r="A671" s="1">
        <v>5138494</v>
      </c>
      <c r="B671" s="1" t="s">
        <v>2211</v>
      </c>
      <c r="C671" s="1" t="str">
        <f>"9781292020341"</f>
        <v>9781292020341</v>
      </c>
      <c r="D671" s="1" t="str">
        <f>"9781292033679"</f>
        <v>9781292033679</v>
      </c>
      <c r="E671" s="1" t="s">
        <v>52</v>
      </c>
      <c r="F671" s="1" t="s">
        <v>40</v>
      </c>
      <c r="G671" s="3">
        <v>41471</v>
      </c>
      <c r="H671" s="3">
        <v>1</v>
      </c>
      <c r="I671" s="1" t="s">
        <v>41</v>
      </c>
      <c r="J671" s="1">
        <v>3</v>
      </c>
      <c r="L671" s="1" t="s">
        <v>2212</v>
      </c>
      <c r="M671" s="1" t="s">
        <v>372</v>
      </c>
      <c r="O671" s="1">
        <v>300.72000000000003</v>
      </c>
      <c r="Q671" s="1" t="s">
        <v>46</v>
      </c>
      <c r="R671" s="1" t="s">
        <v>47</v>
      </c>
      <c r="S671" s="1" t="s">
        <v>47</v>
      </c>
      <c r="T671" s="1" t="s">
        <v>48</v>
      </c>
      <c r="U671" s="1" t="s">
        <v>47</v>
      </c>
      <c r="V671" s="1" t="s">
        <v>47</v>
      </c>
      <c r="W671" s="1" t="s">
        <v>47</v>
      </c>
      <c r="Z671" s="1">
        <v>0</v>
      </c>
      <c r="AB671" s="1" t="s">
        <v>47</v>
      </c>
      <c r="AD671" s="1">
        <v>527316</v>
      </c>
      <c r="AF671" s="1" t="s">
        <v>47</v>
      </c>
      <c r="AG671" s="1" t="s">
        <v>47</v>
      </c>
      <c r="AH671" s="1" t="s">
        <v>49</v>
      </c>
      <c r="AI671" s="1" t="s">
        <v>47</v>
      </c>
      <c r="AK671" s="1" t="s">
        <v>48</v>
      </c>
      <c r="AL671" s="1" t="s">
        <v>2213</v>
      </c>
    </row>
    <row r="672" spans="1:38">
      <c r="A672" s="1">
        <v>5138496</v>
      </c>
      <c r="B672" s="1" t="s">
        <v>2214</v>
      </c>
      <c r="C672" s="1" t="str">
        <f>"9781292020280"</f>
        <v>9781292020280</v>
      </c>
      <c r="D672" s="1" t="str">
        <f>"9781292033648"</f>
        <v>9781292033648</v>
      </c>
      <c r="E672" s="1" t="s">
        <v>52</v>
      </c>
      <c r="F672" s="1" t="s">
        <v>40</v>
      </c>
      <c r="G672" s="3">
        <v>41499</v>
      </c>
      <c r="H672" s="3">
        <v>1</v>
      </c>
      <c r="I672" s="1" t="s">
        <v>41</v>
      </c>
      <c r="J672" s="1">
        <v>1</v>
      </c>
      <c r="L672" s="1" t="s">
        <v>2215</v>
      </c>
      <c r="M672" s="1" t="s">
        <v>372</v>
      </c>
      <c r="O672" s="1">
        <v>300.72000000000003</v>
      </c>
      <c r="Q672" s="1" t="s">
        <v>46</v>
      </c>
      <c r="R672" s="1" t="s">
        <v>47</v>
      </c>
      <c r="S672" s="1" t="s">
        <v>47</v>
      </c>
      <c r="T672" s="1" t="s">
        <v>48</v>
      </c>
      <c r="U672" s="1" t="s">
        <v>47</v>
      </c>
      <c r="V672" s="1" t="s">
        <v>47</v>
      </c>
      <c r="W672" s="1" t="s">
        <v>47</v>
      </c>
      <c r="Z672" s="1">
        <v>0</v>
      </c>
      <c r="AB672" s="1" t="s">
        <v>47</v>
      </c>
      <c r="AD672" s="1">
        <v>526934</v>
      </c>
      <c r="AF672" s="1" t="s">
        <v>47</v>
      </c>
      <c r="AG672" s="1" t="s">
        <v>47</v>
      </c>
      <c r="AH672" s="1" t="s">
        <v>49</v>
      </c>
      <c r="AI672" s="1" t="s">
        <v>47</v>
      </c>
      <c r="AK672" s="1" t="s">
        <v>48</v>
      </c>
      <c r="AL672" s="1" t="s">
        <v>2216</v>
      </c>
    </row>
    <row r="673" spans="1:38">
      <c r="A673" s="1">
        <v>5138510</v>
      </c>
      <c r="B673" s="1" t="s">
        <v>2217</v>
      </c>
      <c r="C673" s="1" t="str">
        <f>"9781292039350"</f>
        <v>9781292039350</v>
      </c>
      <c r="D673" s="1" t="str">
        <f>"9781292054667"</f>
        <v>9781292054667</v>
      </c>
      <c r="E673" s="1" t="s">
        <v>52</v>
      </c>
      <c r="F673" s="1" t="s">
        <v>40</v>
      </c>
      <c r="G673" s="3">
        <v>41579</v>
      </c>
      <c r="H673" s="3">
        <v>1</v>
      </c>
      <c r="I673" s="1" t="s">
        <v>41</v>
      </c>
      <c r="J673" s="1">
        <v>8</v>
      </c>
      <c r="L673" s="1" t="s">
        <v>2218</v>
      </c>
      <c r="M673" s="1" t="s">
        <v>43</v>
      </c>
      <c r="O673" s="1">
        <v>624</v>
      </c>
      <c r="Q673" s="1" t="s">
        <v>46</v>
      </c>
      <c r="R673" s="1" t="s">
        <v>47</v>
      </c>
      <c r="S673" s="1" t="s">
        <v>47</v>
      </c>
      <c r="T673" s="1" t="s">
        <v>48</v>
      </c>
      <c r="U673" s="1" t="s">
        <v>47</v>
      </c>
      <c r="V673" s="1" t="s">
        <v>47</v>
      </c>
      <c r="W673" s="1" t="s">
        <v>47</v>
      </c>
      <c r="Z673" s="1">
        <v>0</v>
      </c>
      <c r="AB673" s="1" t="s">
        <v>47</v>
      </c>
      <c r="AD673" s="1">
        <v>543583</v>
      </c>
      <c r="AF673" s="1" t="s">
        <v>47</v>
      </c>
      <c r="AG673" s="1" t="s">
        <v>47</v>
      </c>
      <c r="AH673" s="1" t="s">
        <v>49</v>
      </c>
      <c r="AI673" s="1" t="s">
        <v>47</v>
      </c>
      <c r="AK673" s="1" t="s">
        <v>48</v>
      </c>
      <c r="AL673" s="1" t="s">
        <v>2219</v>
      </c>
    </row>
    <row r="674" spans="1:38">
      <c r="A674" s="1">
        <v>5138511</v>
      </c>
      <c r="B674" s="1" t="s">
        <v>2220</v>
      </c>
      <c r="C674" s="1" t="str">
        <f>"9781292023182"</f>
        <v>9781292023182</v>
      </c>
      <c r="D674" s="1" t="str">
        <f>"9781292036366"</f>
        <v>9781292036366</v>
      </c>
      <c r="E674" s="1" t="s">
        <v>52</v>
      </c>
      <c r="F674" s="1" t="s">
        <v>40</v>
      </c>
      <c r="G674" s="3">
        <v>41480</v>
      </c>
      <c r="H674" s="3">
        <v>1</v>
      </c>
      <c r="I674" s="1" t="s">
        <v>41</v>
      </c>
      <c r="J674" s="1">
        <v>9</v>
      </c>
      <c r="L674" s="1" t="s">
        <v>2221</v>
      </c>
      <c r="M674" s="1" t="s">
        <v>1400</v>
      </c>
      <c r="O674" s="1">
        <v>327.10903999999999</v>
      </c>
      <c r="Q674" s="1" t="s">
        <v>46</v>
      </c>
      <c r="R674" s="1" t="s">
        <v>47</v>
      </c>
      <c r="S674" s="1" t="s">
        <v>47</v>
      </c>
      <c r="T674" s="1" t="s">
        <v>48</v>
      </c>
      <c r="U674" s="1" t="s">
        <v>47</v>
      </c>
      <c r="V674" s="1" t="s">
        <v>47</v>
      </c>
      <c r="W674" s="1" t="s">
        <v>47</v>
      </c>
      <c r="Z674" s="1">
        <v>0</v>
      </c>
      <c r="AB674" s="1" t="s">
        <v>47</v>
      </c>
      <c r="AD674" s="1">
        <v>527426</v>
      </c>
      <c r="AF674" s="1" t="s">
        <v>47</v>
      </c>
      <c r="AG674" s="1" t="s">
        <v>47</v>
      </c>
      <c r="AH674" s="1" t="s">
        <v>49</v>
      </c>
      <c r="AI674" s="1" t="s">
        <v>47</v>
      </c>
      <c r="AK674" s="1" t="s">
        <v>48</v>
      </c>
      <c r="AL674" s="1" t="s">
        <v>2222</v>
      </c>
    </row>
    <row r="675" spans="1:38">
      <c r="A675" s="1">
        <v>5138521</v>
      </c>
      <c r="B675" s="1" t="s">
        <v>2223</v>
      </c>
      <c r="C675" s="1" t="str">
        <f>"9781292026084"</f>
        <v>9781292026084</v>
      </c>
      <c r="D675" s="1" t="str">
        <f>"9781292038490"</f>
        <v>9781292038490</v>
      </c>
      <c r="E675" s="1" t="s">
        <v>52</v>
      </c>
      <c r="F675" s="1" t="s">
        <v>40</v>
      </c>
      <c r="G675" s="3">
        <v>41479</v>
      </c>
      <c r="H675" s="3">
        <v>1</v>
      </c>
      <c r="I675" s="1" t="s">
        <v>41</v>
      </c>
      <c r="J675" s="1">
        <v>4</v>
      </c>
      <c r="L675" s="1" t="s">
        <v>2224</v>
      </c>
      <c r="M675" s="1" t="s">
        <v>1497</v>
      </c>
      <c r="O675" s="1">
        <v>620.00109999999995</v>
      </c>
      <c r="Q675" s="1" t="s">
        <v>46</v>
      </c>
      <c r="R675" s="1" t="s">
        <v>47</v>
      </c>
      <c r="S675" s="1" t="s">
        <v>47</v>
      </c>
      <c r="T675" s="1" t="s">
        <v>48</v>
      </c>
      <c r="U675" s="1" t="s">
        <v>47</v>
      </c>
      <c r="V675" s="1" t="s">
        <v>47</v>
      </c>
      <c r="W675" s="1" t="s">
        <v>47</v>
      </c>
      <c r="Z675" s="1">
        <v>0</v>
      </c>
      <c r="AB675" s="1" t="s">
        <v>47</v>
      </c>
      <c r="AD675" s="1">
        <v>527342</v>
      </c>
      <c r="AF675" s="1" t="s">
        <v>47</v>
      </c>
      <c r="AG675" s="1" t="s">
        <v>47</v>
      </c>
      <c r="AH675" s="1" t="s">
        <v>49</v>
      </c>
      <c r="AI675" s="1" t="s">
        <v>47</v>
      </c>
      <c r="AK675" s="1" t="s">
        <v>48</v>
      </c>
      <c r="AL675" s="1" t="s">
        <v>2225</v>
      </c>
    </row>
    <row r="676" spans="1:38">
      <c r="A676" s="1">
        <v>5138529</v>
      </c>
      <c r="B676" s="1" t="s">
        <v>2226</v>
      </c>
      <c r="C676" s="1" t="str">
        <f>"9781292026206"</f>
        <v>9781292026206</v>
      </c>
      <c r="D676" s="1" t="str">
        <f>"9781292038605"</f>
        <v>9781292038605</v>
      </c>
      <c r="E676" s="1" t="s">
        <v>52</v>
      </c>
      <c r="F676" s="1" t="s">
        <v>40</v>
      </c>
      <c r="G676" s="3">
        <v>41479</v>
      </c>
      <c r="H676" s="3">
        <v>1</v>
      </c>
      <c r="I676" s="1" t="s">
        <v>41</v>
      </c>
      <c r="J676" s="1">
        <v>3</v>
      </c>
      <c r="L676" s="1" t="s">
        <v>808</v>
      </c>
      <c r="M676" s="1" t="s">
        <v>54</v>
      </c>
      <c r="O676" s="1">
        <v>370.15</v>
      </c>
      <c r="Q676" s="1" t="s">
        <v>46</v>
      </c>
      <c r="R676" s="1" t="s">
        <v>47</v>
      </c>
      <c r="S676" s="1" t="s">
        <v>47</v>
      </c>
      <c r="T676" s="1" t="s">
        <v>48</v>
      </c>
      <c r="U676" s="1" t="s">
        <v>47</v>
      </c>
      <c r="V676" s="1" t="s">
        <v>47</v>
      </c>
      <c r="W676" s="1" t="s">
        <v>47</v>
      </c>
      <c r="Z676" s="1">
        <v>0</v>
      </c>
      <c r="AB676" s="1" t="s">
        <v>47</v>
      </c>
      <c r="AD676" s="1">
        <v>527246</v>
      </c>
      <c r="AF676" s="1" t="s">
        <v>47</v>
      </c>
      <c r="AG676" s="1" t="s">
        <v>47</v>
      </c>
      <c r="AH676" s="1" t="s">
        <v>49</v>
      </c>
      <c r="AI676" s="1" t="s">
        <v>47</v>
      </c>
      <c r="AK676" s="1" t="s">
        <v>48</v>
      </c>
      <c r="AL676" s="1" t="s">
        <v>2227</v>
      </c>
    </row>
    <row r="677" spans="1:38">
      <c r="A677" s="1">
        <v>5138533</v>
      </c>
      <c r="B677" s="1" t="s">
        <v>2228</v>
      </c>
      <c r="C677" s="1" t="str">
        <f>"9781292021942"</f>
        <v>9781292021942</v>
      </c>
      <c r="D677" s="1" t="str">
        <f>"9781292035154"</f>
        <v>9781292035154</v>
      </c>
      <c r="E677" s="1" t="s">
        <v>52</v>
      </c>
      <c r="F677" s="1" t="s">
        <v>40</v>
      </c>
      <c r="G677" s="3">
        <v>41513</v>
      </c>
      <c r="H677" s="3">
        <v>1</v>
      </c>
      <c r="I677" s="1" t="s">
        <v>41</v>
      </c>
      <c r="J677" s="1">
        <v>6</v>
      </c>
      <c r="L677" s="1" t="s">
        <v>2229</v>
      </c>
      <c r="Q677" s="1" t="s">
        <v>46</v>
      </c>
      <c r="R677" s="1" t="s">
        <v>47</v>
      </c>
      <c r="S677" s="1" t="s">
        <v>47</v>
      </c>
      <c r="T677" s="1" t="s">
        <v>48</v>
      </c>
      <c r="U677" s="1" t="s">
        <v>47</v>
      </c>
      <c r="V677" s="1" t="s">
        <v>47</v>
      </c>
      <c r="W677" s="1" t="s">
        <v>47</v>
      </c>
      <c r="Z677" s="1">
        <v>0</v>
      </c>
      <c r="AB677" s="1" t="s">
        <v>47</v>
      </c>
      <c r="AD677" s="1">
        <v>527367</v>
      </c>
      <c r="AF677" s="1" t="s">
        <v>47</v>
      </c>
      <c r="AG677" s="1" t="s">
        <v>47</v>
      </c>
      <c r="AH677" s="1" t="s">
        <v>49</v>
      </c>
      <c r="AI677" s="1" t="s">
        <v>47</v>
      </c>
      <c r="AK677" s="1" t="s">
        <v>48</v>
      </c>
      <c r="AL677" s="1" t="s">
        <v>2230</v>
      </c>
    </row>
    <row r="678" spans="1:38">
      <c r="A678" s="1">
        <v>5138537</v>
      </c>
      <c r="B678" s="1" t="s">
        <v>2231</v>
      </c>
      <c r="C678" s="1" t="str">
        <f>"9781292025124"</f>
        <v>9781292025124</v>
      </c>
      <c r="D678" s="1" t="str">
        <f>"9781292037714"</f>
        <v>9781292037714</v>
      </c>
      <c r="E678" s="1" t="s">
        <v>52</v>
      </c>
      <c r="F678" s="1" t="s">
        <v>40</v>
      </c>
      <c r="G678" s="3">
        <v>41492</v>
      </c>
      <c r="H678" s="3">
        <v>1</v>
      </c>
      <c r="I678" s="1" t="s">
        <v>41</v>
      </c>
      <c r="J678" s="1">
        <v>7</v>
      </c>
      <c r="L678" s="1" t="s">
        <v>2232</v>
      </c>
      <c r="M678" s="1" t="s">
        <v>54</v>
      </c>
      <c r="O678" s="1">
        <v>371.90973000000002</v>
      </c>
      <c r="Q678" s="1" t="s">
        <v>46</v>
      </c>
      <c r="R678" s="1" t="s">
        <v>47</v>
      </c>
      <c r="S678" s="1" t="s">
        <v>47</v>
      </c>
      <c r="T678" s="1" t="s">
        <v>48</v>
      </c>
      <c r="U678" s="1" t="s">
        <v>47</v>
      </c>
      <c r="V678" s="1" t="s">
        <v>47</v>
      </c>
      <c r="W678" s="1" t="s">
        <v>47</v>
      </c>
      <c r="Z678" s="1">
        <v>0</v>
      </c>
      <c r="AB678" s="1" t="s">
        <v>47</v>
      </c>
      <c r="AD678" s="1">
        <v>527297</v>
      </c>
      <c r="AF678" s="1" t="s">
        <v>47</v>
      </c>
      <c r="AG678" s="1" t="s">
        <v>47</v>
      </c>
      <c r="AH678" s="1" t="s">
        <v>49</v>
      </c>
      <c r="AI678" s="1" t="s">
        <v>47</v>
      </c>
      <c r="AK678" s="1" t="s">
        <v>48</v>
      </c>
      <c r="AL678" s="1" t="s">
        <v>2233</v>
      </c>
    </row>
    <row r="679" spans="1:38">
      <c r="A679" s="1">
        <v>5138551</v>
      </c>
      <c r="B679" s="1" t="s">
        <v>2234</v>
      </c>
      <c r="C679" s="1" t="str">
        <f>"9781292041339"</f>
        <v>9781292041339</v>
      </c>
      <c r="D679" s="1" t="str">
        <f>"9781292054780"</f>
        <v>9781292054780</v>
      </c>
      <c r="E679" s="1" t="s">
        <v>52</v>
      </c>
      <c r="F679" s="1" t="s">
        <v>40</v>
      </c>
      <c r="G679" s="3">
        <v>41579</v>
      </c>
      <c r="H679" s="3">
        <v>1</v>
      </c>
      <c r="I679" s="1" t="s">
        <v>41</v>
      </c>
      <c r="J679" s="1">
        <v>14</v>
      </c>
      <c r="L679" s="1" t="s">
        <v>2235</v>
      </c>
      <c r="M679" s="1" t="s">
        <v>54</v>
      </c>
      <c r="O679" s="1">
        <v>372.83044097300001</v>
      </c>
      <c r="Q679" s="1" t="s">
        <v>46</v>
      </c>
      <c r="R679" s="1" t="s">
        <v>47</v>
      </c>
      <c r="S679" s="1" t="s">
        <v>47</v>
      </c>
      <c r="T679" s="1" t="s">
        <v>48</v>
      </c>
      <c r="U679" s="1" t="s">
        <v>47</v>
      </c>
      <c r="V679" s="1" t="s">
        <v>47</v>
      </c>
      <c r="W679" s="1" t="s">
        <v>47</v>
      </c>
      <c r="Z679" s="1">
        <v>0</v>
      </c>
      <c r="AB679" s="1" t="s">
        <v>47</v>
      </c>
      <c r="AD679" s="1">
        <v>543501</v>
      </c>
      <c r="AF679" s="1" t="s">
        <v>47</v>
      </c>
      <c r="AG679" s="1" t="s">
        <v>47</v>
      </c>
      <c r="AH679" s="1" t="s">
        <v>49</v>
      </c>
      <c r="AI679" s="1" t="s">
        <v>47</v>
      </c>
      <c r="AK679" s="1" t="s">
        <v>48</v>
      </c>
      <c r="AL679" s="1" t="s">
        <v>2236</v>
      </c>
    </row>
    <row r="680" spans="1:38">
      <c r="A680" s="1">
        <v>5138556</v>
      </c>
      <c r="B680" s="1" t="s">
        <v>2237</v>
      </c>
      <c r="C680" s="1" t="str">
        <f>"9781292041278"</f>
        <v>9781292041278</v>
      </c>
      <c r="D680" s="1" t="str">
        <f>"9781292054797"</f>
        <v>9781292054797</v>
      </c>
      <c r="E680" s="1" t="s">
        <v>52</v>
      </c>
      <c r="F680" s="1" t="s">
        <v>40</v>
      </c>
      <c r="G680" s="3">
        <v>41579</v>
      </c>
      <c r="H680" s="3">
        <v>1</v>
      </c>
      <c r="I680" s="1" t="s">
        <v>41</v>
      </c>
      <c r="J680" s="1">
        <v>4</v>
      </c>
      <c r="L680" s="1" t="s">
        <v>2238</v>
      </c>
      <c r="M680" s="1" t="s">
        <v>372</v>
      </c>
      <c r="O680" s="1">
        <v>305.8</v>
      </c>
      <c r="Q680" s="1" t="s">
        <v>46</v>
      </c>
      <c r="R680" s="1" t="s">
        <v>47</v>
      </c>
      <c r="S680" s="1" t="s">
        <v>47</v>
      </c>
      <c r="T680" s="1" t="s">
        <v>48</v>
      </c>
      <c r="U680" s="1" t="s">
        <v>47</v>
      </c>
      <c r="V680" s="1" t="s">
        <v>47</v>
      </c>
      <c r="W680" s="1" t="s">
        <v>47</v>
      </c>
      <c r="Z680" s="1">
        <v>0</v>
      </c>
      <c r="AB680" s="1" t="s">
        <v>47</v>
      </c>
      <c r="AD680" s="1">
        <v>543599</v>
      </c>
      <c r="AF680" s="1" t="s">
        <v>47</v>
      </c>
      <c r="AG680" s="1" t="s">
        <v>47</v>
      </c>
      <c r="AH680" s="1" t="s">
        <v>49</v>
      </c>
      <c r="AI680" s="1" t="s">
        <v>47</v>
      </c>
      <c r="AK680" s="1" t="s">
        <v>48</v>
      </c>
      <c r="AL680" s="1" t="s">
        <v>2239</v>
      </c>
    </row>
    <row r="681" spans="1:38">
      <c r="A681" s="1">
        <v>5138557</v>
      </c>
      <c r="B681" s="1" t="s">
        <v>2240</v>
      </c>
      <c r="C681" s="1" t="str">
        <f>"9781292042114"</f>
        <v>9781292042114</v>
      </c>
      <c r="D681" s="1" t="str">
        <f>"9781292056210"</f>
        <v>9781292056210</v>
      </c>
      <c r="E681" s="1" t="s">
        <v>52</v>
      </c>
      <c r="F681" s="1" t="s">
        <v>40</v>
      </c>
      <c r="G681" s="3">
        <v>41579</v>
      </c>
      <c r="H681" s="3">
        <v>1</v>
      </c>
      <c r="I681" s="1" t="s">
        <v>41</v>
      </c>
      <c r="J681" s="1">
        <v>10</v>
      </c>
      <c r="L681" s="1" t="s">
        <v>2238</v>
      </c>
      <c r="M681" s="1" t="s">
        <v>372</v>
      </c>
      <c r="O681" s="1">
        <v>305.800973</v>
      </c>
      <c r="Q681" s="1" t="s">
        <v>46</v>
      </c>
      <c r="R681" s="1" t="s">
        <v>47</v>
      </c>
      <c r="S681" s="1" t="s">
        <v>47</v>
      </c>
      <c r="T681" s="1" t="s">
        <v>48</v>
      </c>
      <c r="U681" s="1" t="s">
        <v>47</v>
      </c>
      <c r="V681" s="1" t="s">
        <v>47</v>
      </c>
      <c r="W681" s="1" t="s">
        <v>47</v>
      </c>
      <c r="Z681" s="1">
        <v>0</v>
      </c>
      <c r="AB681" s="1" t="s">
        <v>47</v>
      </c>
      <c r="AD681" s="1">
        <v>543620</v>
      </c>
      <c r="AF681" s="1" t="s">
        <v>47</v>
      </c>
      <c r="AG681" s="1" t="s">
        <v>47</v>
      </c>
      <c r="AH681" s="1" t="s">
        <v>49</v>
      </c>
      <c r="AI681" s="1" t="s">
        <v>47</v>
      </c>
      <c r="AK681" s="1" t="s">
        <v>48</v>
      </c>
      <c r="AL681" s="1" t="s">
        <v>2241</v>
      </c>
    </row>
    <row r="682" spans="1:38">
      <c r="A682" s="1">
        <v>5138559</v>
      </c>
      <c r="B682" s="1" t="s">
        <v>2242</v>
      </c>
      <c r="C682" s="1" t="str">
        <f>"9781292027142"</f>
        <v>9781292027142</v>
      </c>
      <c r="D682" s="1" t="str">
        <f>"9781292054803"</f>
        <v>9781292054803</v>
      </c>
      <c r="E682" s="1" t="s">
        <v>52</v>
      </c>
      <c r="F682" s="1" t="s">
        <v>40</v>
      </c>
      <c r="G682" s="3">
        <v>41579</v>
      </c>
      <c r="H682" s="3">
        <v>1</v>
      </c>
      <c r="I682" s="1" t="s">
        <v>41</v>
      </c>
      <c r="J682" s="1">
        <v>3</v>
      </c>
      <c r="L682" s="1" t="s">
        <v>2243</v>
      </c>
      <c r="M682" s="1" t="s">
        <v>54</v>
      </c>
      <c r="O682" s="1">
        <v>370.15199999999999</v>
      </c>
      <c r="Q682" s="1" t="s">
        <v>46</v>
      </c>
      <c r="R682" s="1" t="s">
        <v>47</v>
      </c>
      <c r="S682" s="1" t="s">
        <v>47</v>
      </c>
      <c r="T682" s="1" t="s">
        <v>48</v>
      </c>
      <c r="U682" s="1" t="s">
        <v>47</v>
      </c>
      <c r="V682" s="1" t="s">
        <v>47</v>
      </c>
      <c r="W682" s="1" t="s">
        <v>47</v>
      </c>
      <c r="Z682" s="1">
        <v>0</v>
      </c>
      <c r="AB682" s="1" t="s">
        <v>47</v>
      </c>
      <c r="AD682" s="1">
        <v>543578</v>
      </c>
      <c r="AF682" s="1" t="s">
        <v>47</v>
      </c>
      <c r="AG682" s="1" t="s">
        <v>47</v>
      </c>
      <c r="AH682" s="1" t="s">
        <v>49</v>
      </c>
      <c r="AI682" s="1" t="s">
        <v>47</v>
      </c>
      <c r="AK682" s="1" t="s">
        <v>48</v>
      </c>
      <c r="AL682" s="1" t="s">
        <v>2244</v>
      </c>
    </row>
    <row r="683" spans="1:38">
      <c r="A683" s="1">
        <v>5138565</v>
      </c>
      <c r="B683" s="1" t="s">
        <v>2245</v>
      </c>
      <c r="C683" s="1" t="str">
        <f>"9781292022567"</f>
        <v>9781292022567</v>
      </c>
      <c r="D683" s="1" t="str">
        <f>"9781292035765"</f>
        <v>9781292035765</v>
      </c>
      <c r="E683" s="1" t="s">
        <v>52</v>
      </c>
      <c r="F683" s="1" t="s">
        <v>40</v>
      </c>
      <c r="G683" s="3">
        <v>41473</v>
      </c>
      <c r="H683" s="3">
        <v>1</v>
      </c>
      <c r="I683" s="1" t="s">
        <v>41</v>
      </c>
      <c r="J683" s="1">
        <v>3</v>
      </c>
      <c r="L683" s="1" t="s">
        <v>2246</v>
      </c>
      <c r="M683" s="1" t="s">
        <v>1639</v>
      </c>
      <c r="O683" s="1">
        <v>535</v>
      </c>
      <c r="Q683" s="1" t="s">
        <v>46</v>
      </c>
      <c r="R683" s="1" t="s">
        <v>47</v>
      </c>
      <c r="S683" s="1" t="s">
        <v>47</v>
      </c>
      <c r="T683" s="1" t="s">
        <v>48</v>
      </c>
      <c r="U683" s="1" t="s">
        <v>47</v>
      </c>
      <c r="V683" s="1" t="s">
        <v>47</v>
      </c>
      <c r="W683" s="1" t="s">
        <v>47</v>
      </c>
      <c r="Z683" s="1">
        <v>0</v>
      </c>
      <c r="AB683" s="1" t="s">
        <v>47</v>
      </c>
      <c r="AD683" s="1">
        <v>527093</v>
      </c>
      <c r="AF683" s="1" t="s">
        <v>47</v>
      </c>
      <c r="AG683" s="1" t="s">
        <v>47</v>
      </c>
      <c r="AH683" s="1" t="s">
        <v>49</v>
      </c>
      <c r="AI683" s="1" t="s">
        <v>47</v>
      </c>
      <c r="AK683" s="1" t="s">
        <v>48</v>
      </c>
      <c r="AL683" s="1" t="s">
        <v>2247</v>
      </c>
    </row>
    <row r="684" spans="1:38">
      <c r="A684" s="1">
        <v>5138571</v>
      </c>
      <c r="B684" s="1" t="s">
        <v>2248</v>
      </c>
      <c r="C684" s="1" t="str">
        <f>"9781292039114"</f>
        <v>9781292039114</v>
      </c>
      <c r="D684" s="1" t="str">
        <f>"9781292054841"</f>
        <v>9781292054841</v>
      </c>
      <c r="E684" s="1" t="s">
        <v>52</v>
      </c>
      <c r="F684" s="1" t="s">
        <v>40</v>
      </c>
      <c r="G684" s="3">
        <v>41512</v>
      </c>
      <c r="H684" s="3">
        <v>1</v>
      </c>
      <c r="I684" s="1" t="s">
        <v>41</v>
      </c>
      <c r="J684" s="1">
        <v>3</v>
      </c>
      <c r="L684" s="1" t="s">
        <v>2249</v>
      </c>
      <c r="M684" s="1" t="s">
        <v>422</v>
      </c>
      <c r="O684" s="1">
        <v>549</v>
      </c>
      <c r="Q684" s="1" t="s">
        <v>46</v>
      </c>
      <c r="R684" s="1" t="s">
        <v>47</v>
      </c>
      <c r="S684" s="1" t="s">
        <v>47</v>
      </c>
      <c r="T684" s="1" t="s">
        <v>48</v>
      </c>
      <c r="U684" s="1" t="s">
        <v>47</v>
      </c>
      <c r="V684" s="1" t="s">
        <v>47</v>
      </c>
      <c r="W684" s="1" t="s">
        <v>47</v>
      </c>
      <c r="Z684" s="1">
        <v>0</v>
      </c>
      <c r="AB684" s="1" t="s">
        <v>47</v>
      </c>
      <c r="AD684" s="1">
        <v>543636</v>
      </c>
      <c r="AF684" s="1" t="s">
        <v>47</v>
      </c>
      <c r="AG684" s="1" t="s">
        <v>47</v>
      </c>
      <c r="AH684" s="1" t="s">
        <v>49</v>
      </c>
      <c r="AI684" s="1" t="s">
        <v>47</v>
      </c>
      <c r="AK684" s="1" t="s">
        <v>48</v>
      </c>
      <c r="AL684" s="1" t="s">
        <v>2250</v>
      </c>
    </row>
    <row r="685" spans="1:38">
      <c r="A685" s="1">
        <v>5138572</v>
      </c>
      <c r="B685" s="1" t="s">
        <v>2251</v>
      </c>
      <c r="C685" s="1" t="str">
        <f>""</f>
        <v/>
      </c>
      <c r="D685" s="1" t="str">
        <f>"9780273790907"</f>
        <v>9780273790907</v>
      </c>
      <c r="E685" s="1" t="s">
        <v>52</v>
      </c>
      <c r="F685" s="1" t="s">
        <v>40</v>
      </c>
      <c r="G685" s="3">
        <v>41584</v>
      </c>
      <c r="H685" s="3">
        <v>1</v>
      </c>
      <c r="I685" s="1" t="s">
        <v>41</v>
      </c>
      <c r="J685" s="1">
        <v>3</v>
      </c>
      <c r="L685" s="1" t="s">
        <v>2252</v>
      </c>
      <c r="Q685" s="1" t="s">
        <v>46</v>
      </c>
      <c r="R685" s="1" t="s">
        <v>47</v>
      </c>
      <c r="S685" s="1" t="s">
        <v>47</v>
      </c>
      <c r="T685" s="1" t="s">
        <v>48</v>
      </c>
      <c r="U685" s="1" t="s">
        <v>47</v>
      </c>
      <c r="V685" s="1" t="s">
        <v>47</v>
      </c>
      <c r="W685" s="1" t="s">
        <v>47</v>
      </c>
      <c r="Z685" s="1">
        <v>0</v>
      </c>
      <c r="AB685" s="1" t="s">
        <v>47</v>
      </c>
      <c r="AD685" s="1">
        <v>527664</v>
      </c>
      <c r="AF685" s="1" t="s">
        <v>47</v>
      </c>
      <c r="AG685" s="1" t="s">
        <v>47</v>
      </c>
      <c r="AH685" s="1" t="s">
        <v>49</v>
      </c>
      <c r="AI685" s="1" t="s">
        <v>47</v>
      </c>
      <c r="AK685" s="1" t="s">
        <v>48</v>
      </c>
      <c r="AL685" s="1" t="s">
        <v>2253</v>
      </c>
    </row>
    <row r="686" spans="1:38">
      <c r="A686" s="1">
        <v>5138577</v>
      </c>
      <c r="B686" s="1" t="s">
        <v>2254</v>
      </c>
      <c r="C686" s="1" t="str">
        <f>"9781292027289"</f>
        <v>9781292027289</v>
      </c>
      <c r="D686" s="1" t="str">
        <f>"9781292054872"</f>
        <v>9781292054872</v>
      </c>
      <c r="E686" s="1" t="s">
        <v>52</v>
      </c>
      <c r="F686" s="1" t="s">
        <v>40</v>
      </c>
      <c r="G686" s="3">
        <v>41579</v>
      </c>
      <c r="H686" s="3">
        <v>1</v>
      </c>
      <c r="I686" s="1" t="s">
        <v>41</v>
      </c>
      <c r="J686" s="1">
        <v>3</v>
      </c>
      <c r="L686" s="1" t="s">
        <v>2255</v>
      </c>
      <c r="M686" s="1" t="s">
        <v>43</v>
      </c>
      <c r="O686" s="1">
        <v>624.06809999999996</v>
      </c>
      <c r="Q686" s="1" t="s">
        <v>46</v>
      </c>
      <c r="R686" s="1" t="s">
        <v>47</v>
      </c>
      <c r="S686" s="1" t="s">
        <v>47</v>
      </c>
      <c r="T686" s="1" t="s">
        <v>48</v>
      </c>
      <c r="U686" s="1" t="s">
        <v>47</v>
      </c>
      <c r="V686" s="1" t="s">
        <v>47</v>
      </c>
      <c r="W686" s="1" t="s">
        <v>47</v>
      </c>
      <c r="Z686" s="1">
        <v>0</v>
      </c>
      <c r="AB686" s="1" t="s">
        <v>47</v>
      </c>
      <c r="AD686" s="1">
        <v>543644</v>
      </c>
      <c r="AF686" s="1" t="s">
        <v>47</v>
      </c>
      <c r="AG686" s="1" t="s">
        <v>47</v>
      </c>
      <c r="AH686" s="1" t="s">
        <v>49</v>
      </c>
      <c r="AI686" s="1" t="s">
        <v>47</v>
      </c>
      <c r="AK686" s="1" t="s">
        <v>48</v>
      </c>
      <c r="AL686" s="1" t="s">
        <v>2256</v>
      </c>
    </row>
    <row r="687" spans="1:38">
      <c r="A687" s="1">
        <v>5138579</v>
      </c>
      <c r="B687" s="1" t="s">
        <v>2257</v>
      </c>
      <c r="C687" s="1" t="str">
        <f>"9781292025278"</f>
        <v>9781292025278</v>
      </c>
      <c r="D687" s="1" t="str">
        <f>"9781292037837"</f>
        <v>9781292037837</v>
      </c>
      <c r="E687" s="1" t="s">
        <v>52</v>
      </c>
      <c r="F687" s="1" t="s">
        <v>40</v>
      </c>
      <c r="G687" s="3">
        <v>41515</v>
      </c>
      <c r="H687" s="3">
        <v>1</v>
      </c>
      <c r="I687" s="1" t="s">
        <v>41</v>
      </c>
      <c r="J687" s="1">
        <v>4</v>
      </c>
      <c r="L687" s="1" t="s">
        <v>2258</v>
      </c>
      <c r="Q687" s="1" t="s">
        <v>46</v>
      </c>
      <c r="R687" s="1" t="s">
        <v>47</v>
      </c>
      <c r="S687" s="1" t="s">
        <v>47</v>
      </c>
      <c r="T687" s="1" t="s">
        <v>48</v>
      </c>
      <c r="U687" s="1" t="s">
        <v>47</v>
      </c>
      <c r="V687" s="1" t="s">
        <v>47</v>
      </c>
      <c r="W687" s="1" t="s">
        <v>47</v>
      </c>
      <c r="Z687" s="1">
        <v>0</v>
      </c>
      <c r="AB687" s="1" t="s">
        <v>47</v>
      </c>
      <c r="AD687" s="1">
        <v>527289</v>
      </c>
      <c r="AF687" s="1" t="s">
        <v>47</v>
      </c>
      <c r="AG687" s="1" t="s">
        <v>47</v>
      </c>
      <c r="AH687" s="1" t="s">
        <v>49</v>
      </c>
      <c r="AI687" s="1" t="s">
        <v>47</v>
      </c>
      <c r="AK687" s="1" t="s">
        <v>48</v>
      </c>
      <c r="AL687" s="1" t="s">
        <v>2259</v>
      </c>
    </row>
    <row r="688" spans="1:38">
      <c r="A688" s="1">
        <v>5138583</v>
      </c>
      <c r="B688" s="1" t="s">
        <v>2260</v>
      </c>
      <c r="C688" s="1" t="str">
        <f>"9780273730989"</f>
        <v>9780273730989</v>
      </c>
      <c r="D688" s="1" t="str">
        <f>"9780273730996"</f>
        <v>9780273730996</v>
      </c>
      <c r="E688" s="1" t="s">
        <v>52</v>
      </c>
      <c r="F688" s="1" t="s">
        <v>157</v>
      </c>
      <c r="G688" s="3">
        <v>40143</v>
      </c>
      <c r="H688" s="3">
        <v>1</v>
      </c>
      <c r="I688" s="1" t="s">
        <v>41</v>
      </c>
      <c r="J688" s="1">
        <v>4</v>
      </c>
      <c r="L688" s="1" t="s">
        <v>2261</v>
      </c>
      <c r="M688" s="1" t="s">
        <v>2262</v>
      </c>
      <c r="N688" s="1" t="s">
        <v>1103</v>
      </c>
      <c r="O688" s="1">
        <v>629.13229999999999</v>
      </c>
      <c r="Q688" s="1" t="s">
        <v>46</v>
      </c>
      <c r="R688" s="1" t="s">
        <v>47</v>
      </c>
      <c r="S688" s="1" t="s">
        <v>47</v>
      </c>
      <c r="T688" s="1" t="s">
        <v>48</v>
      </c>
      <c r="U688" s="1" t="s">
        <v>47</v>
      </c>
      <c r="V688" s="1" t="s">
        <v>47</v>
      </c>
      <c r="W688" s="1" t="s">
        <v>47</v>
      </c>
      <c r="Z688" s="1">
        <v>0</v>
      </c>
      <c r="AB688" s="1" t="s">
        <v>47</v>
      </c>
      <c r="AD688" s="1">
        <v>252997</v>
      </c>
      <c r="AF688" s="1" t="s">
        <v>47</v>
      </c>
      <c r="AG688" s="1" t="s">
        <v>47</v>
      </c>
      <c r="AH688" s="1" t="s">
        <v>49</v>
      </c>
      <c r="AI688" s="1" t="s">
        <v>47</v>
      </c>
      <c r="AK688" s="1" t="s">
        <v>48</v>
      </c>
      <c r="AL688" s="1" t="s">
        <v>2263</v>
      </c>
    </row>
    <row r="689" spans="1:38">
      <c r="A689" s="1">
        <v>5138586</v>
      </c>
      <c r="B689" s="1" t="s">
        <v>2264</v>
      </c>
      <c r="C689" s="1" t="str">
        <f>"9780273719540"</f>
        <v>9780273719540</v>
      </c>
      <c r="D689" s="1" t="str">
        <f>"9781405899833"</f>
        <v>9781405899833</v>
      </c>
      <c r="E689" s="1" t="s">
        <v>52</v>
      </c>
      <c r="F689" s="1" t="s">
        <v>67</v>
      </c>
      <c r="G689" s="3">
        <v>40276</v>
      </c>
      <c r="H689" s="3">
        <v>1</v>
      </c>
      <c r="I689" s="1" t="s">
        <v>41</v>
      </c>
      <c r="J689" s="1">
        <v>4</v>
      </c>
      <c r="L689" s="1" t="s">
        <v>2265</v>
      </c>
      <c r="M689" s="1" t="s">
        <v>59</v>
      </c>
      <c r="N689" s="1" t="s">
        <v>2266</v>
      </c>
      <c r="O689" s="1">
        <v>658.3</v>
      </c>
      <c r="P689" s="1" t="s">
        <v>2267</v>
      </c>
      <c r="Q689" s="1" t="s">
        <v>46</v>
      </c>
      <c r="R689" s="1" t="s">
        <v>47</v>
      </c>
      <c r="S689" s="1" t="s">
        <v>47</v>
      </c>
      <c r="T689" s="1" t="s">
        <v>48</v>
      </c>
      <c r="U689" s="1" t="s">
        <v>47</v>
      </c>
      <c r="V689" s="1" t="s">
        <v>47</v>
      </c>
      <c r="W689" s="1" t="s">
        <v>47</v>
      </c>
      <c r="Z689" s="1">
        <v>0</v>
      </c>
      <c r="AB689" s="1" t="s">
        <v>47</v>
      </c>
      <c r="AD689" s="1">
        <v>264554</v>
      </c>
      <c r="AF689" s="1" t="s">
        <v>47</v>
      </c>
      <c r="AG689" s="1" t="s">
        <v>47</v>
      </c>
      <c r="AH689" s="1" t="s">
        <v>49</v>
      </c>
      <c r="AI689" s="1" t="s">
        <v>47</v>
      </c>
      <c r="AK689" s="1" t="s">
        <v>48</v>
      </c>
      <c r="AL689" s="1" t="s">
        <v>2268</v>
      </c>
    </row>
    <row r="690" spans="1:38">
      <c r="A690" s="1">
        <v>5138591</v>
      </c>
      <c r="B690" s="1" t="s">
        <v>2269</v>
      </c>
      <c r="C690" s="1" t="str">
        <f>"9781292023748"</f>
        <v>9781292023748</v>
      </c>
      <c r="D690" s="1" t="str">
        <f>"9781292036878"</f>
        <v>9781292036878</v>
      </c>
      <c r="E690" s="1" t="s">
        <v>52</v>
      </c>
      <c r="F690" s="1" t="s">
        <v>40</v>
      </c>
      <c r="G690" s="3">
        <v>41515</v>
      </c>
      <c r="H690" s="3">
        <v>1</v>
      </c>
      <c r="I690" s="1" t="s">
        <v>41</v>
      </c>
      <c r="J690" s="1">
        <v>4</v>
      </c>
      <c r="L690" s="1" t="s">
        <v>2270</v>
      </c>
      <c r="Q690" s="1" t="s">
        <v>46</v>
      </c>
      <c r="R690" s="1" t="s">
        <v>47</v>
      </c>
      <c r="S690" s="1" t="s">
        <v>47</v>
      </c>
      <c r="T690" s="1" t="s">
        <v>48</v>
      </c>
      <c r="U690" s="1" t="s">
        <v>47</v>
      </c>
      <c r="V690" s="1" t="s">
        <v>47</v>
      </c>
      <c r="W690" s="1" t="s">
        <v>47</v>
      </c>
      <c r="Z690" s="1">
        <v>0</v>
      </c>
      <c r="AB690" s="1" t="s">
        <v>47</v>
      </c>
      <c r="AD690" s="1">
        <v>527251</v>
      </c>
      <c r="AF690" s="1" t="s">
        <v>47</v>
      </c>
      <c r="AG690" s="1" t="s">
        <v>47</v>
      </c>
      <c r="AH690" s="1" t="s">
        <v>49</v>
      </c>
      <c r="AI690" s="1" t="s">
        <v>47</v>
      </c>
      <c r="AK690" s="1" t="s">
        <v>48</v>
      </c>
      <c r="AL690" s="1" t="s">
        <v>2271</v>
      </c>
    </row>
    <row r="691" spans="1:38">
      <c r="A691" s="1">
        <v>5138592</v>
      </c>
      <c r="B691" s="1" t="s">
        <v>2272</v>
      </c>
      <c r="C691" s="1" t="str">
        <f>"9781292040882"</f>
        <v>9781292040882</v>
      </c>
      <c r="D691" s="1" t="str">
        <f>"9781292054919"</f>
        <v>9781292054919</v>
      </c>
      <c r="E691" s="1" t="s">
        <v>52</v>
      </c>
      <c r="F691" s="1" t="s">
        <v>40</v>
      </c>
      <c r="G691" s="3">
        <v>41579</v>
      </c>
      <c r="H691" s="3">
        <v>1</v>
      </c>
      <c r="I691" s="1" t="s">
        <v>41</v>
      </c>
      <c r="J691" s="1">
        <v>3</v>
      </c>
      <c r="L691" s="1" t="s">
        <v>2273</v>
      </c>
      <c r="M691" s="1" t="s">
        <v>54</v>
      </c>
      <c r="O691" s="1">
        <v>378.17028099999999</v>
      </c>
      <c r="Q691" s="1" t="s">
        <v>46</v>
      </c>
      <c r="R691" s="1" t="s">
        <v>47</v>
      </c>
      <c r="S691" s="1" t="s">
        <v>47</v>
      </c>
      <c r="T691" s="1" t="s">
        <v>48</v>
      </c>
      <c r="U691" s="1" t="s">
        <v>47</v>
      </c>
      <c r="V691" s="1" t="s">
        <v>47</v>
      </c>
      <c r="W691" s="1" t="s">
        <v>47</v>
      </c>
      <c r="Z691" s="1">
        <v>0</v>
      </c>
      <c r="AB691" s="1" t="s">
        <v>47</v>
      </c>
      <c r="AD691" s="1">
        <v>543375</v>
      </c>
      <c r="AF691" s="1" t="s">
        <v>47</v>
      </c>
      <c r="AG691" s="1" t="s">
        <v>47</v>
      </c>
      <c r="AH691" s="1" t="s">
        <v>49</v>
      </c>
      <c r="AI691" s="1" t="s">
        <v>47</v>
      </c>
      <c r="AK691" s="1" t="s">
        <v>48</v>
      </c>
      <c r="AL691" s="1" t="s">
        <v>2274</v>
      </c>
    </row>
    <row r="692" spans="1:38">
      <c r="A692" s="1">
        <v>5138604</v>
      </c>
      <c r="B692" s="1" t="s">
        <v>2275</v>
      </c>
      <c r="C692" s="1" t="str">
        <f>"9781292020365"</f>
        <v>9781292020365</v>
      </c>
      <c r="D692" s="1" t="str">
        <f>"9781292033686"</f>
        <v>9781292033686</v>
      </c>
      <c r="E692" s="1" t="s">
        <v>52</v>
      </c>
      <c r="F692" s="1" t="s">
        <v>40</v>
      </c>
      <c r="G692" s="3">
        <v>41484</v>
      </c>
      <c r="H692" s="3">
        <v>1</v>
      </c>
      <c r="I692" s="1" t="s">
        <v>41</v>
      </c>
      <c r="J692" s="1">
        <v>3</v>
      </c>
      <c r="L692" s="1" t="s">
        <v>2276</v>
      </c>
      <c r="M692" s="1" t="s">
        <v>482</v>
      </c>
      <c r="O692" s="1">
        <v>610.721</v>
      </c>
      <c r="Q692" s="1" t="s">
        <v>46</v>
      </c>
      <c r="R692" s="1" t="s">
        <v>47</v>
      </c>
      <c r="S692" s="1" t="s">
        <v>47</v>
      </c>
      <c r="T692" s="1" t="s">
        <v>48</v>
      </c>
      <c r="U692" s="1" t="s">
        <v>47</v>
      </c>
      <c r="V692" s="1" t="s">
        <v>47</v>
      </c>
      <c r="W692" s="1" t="s">
        <v>47</v>
      </c>
      <c r="Z692" s="1">
        <v>0</v>
      </c>
      <c r="AB692" s="1" t="s">
        <v>47</v>
      </c>
      <c r="AD692" s="1">
        <v>527394</v>
      </c>
      <c r="AF692" s="1" t="s">
        <v>47</v>
      </c>
      <c r="AG692" s="1" t="s">
        <v>47</v>
      </c>
      <c r="AH692" s="1" t="s">
        <v>49</v>
      </c>
      <c r="AI692" s="1" t="s">
        <v>47</v>
      </c>
      <c r="AK692" s="1" t="s">
        <v>48</v>
      </c>
      <c r="AL692" s="1" t="s">
        <v>2277</v>
      </c>
    </row>
    <row r="693" spans="1:38">
      <c r="A693" s="1">
        <v>5138606</v>
      </c>
      <c r="B693" s="1" t="s">
        <v>2278</v>
      </c>
      <c r="C693" s="1" t="str">
        <f>"9780273737223"</f>
        <v>9780273737223</v>
      </c>
      <c r="D693" s="1" t="str">
        <f>"9780273737247"</f>
        <v>9780273737247</v>
      </c>
      <c r="E693" s="1" t="s">
        <v>52</v>
      </c>
      <c r="F693" s="1" t="s">
        <v>157</v>
      </c>
      <c r="G693" s="3">
        <v>40909</v>
      </c>
      <c r="H693" s="3">
        <v>1</v>
      </c>
      <c r="I693" s="1" t="s">
        <v>41</v>
      </c>
      <c r="J693" s="1">
        <v>1</v>
      </c>
      <c r="L693" s="1" t="s">
        <v>2279</v>
      </c>
      <c r="M693" s="1" t="s">
        <v>2280</v>
      </c>
      <c r="N693" s="1" t="s">
        <v>2281</v>
      </c>
      <c r="O693" s="1">
        <v>612.79999999999995</v>
      </c>
      <c r="P693" s="1" t="s">
        <v>2282</v>
      </c>
      <c r="Q693" s="1" t="s">
        <v>46</v>
      </c>
      <c r="R693" s="1" t="s">
        <v>47</v>
      </c>
      <c r="S693" s="1" t="s">
        <v>47</v>
      </c>
      <c r="T693" s="1" t="s">
        <v>48</v>
      </c>
      <c r="U693" s="1" t="s">
        <v>47</v>
      </c>
      <c r="V693" s="1" t="s">
        <v>47</v>
      </c>
      <c r="W693" s="1" t="s">
        <v>47</v>
      </c>
      <c r="Z693" s="1">
        <v>0</v>
      </c>
      <c r="AB693" s="1" t="s">
        <v>47</v>
      </c>
      <c r="AD693" s="1">
        <v>369150</v>
      </c>
      <c r="AF693" s="1" t="s">
        <v>47</v>
      </c>
      <c r="AG693" s="1" t="s">
        <v>47</v>
      </c>
      <c r="AH693" s="1" t="s">
        <v>49</v>
      </c>
      <c r="AI693" s="1" t="s">
        <v>47</v>
      </c>
      <c r="AK693" s="1" t="s">
        <v>48</v>
      </c>
      <c r="AL693" s="1" t="s">
        <v>2283</v>
      </c>
    </row>
    <row r="694" spans="1:38">
      <c r="A694" s="1">
        <v>5138612</v>
      </c>
      <c r="B694" s="1" t="s">
        <v>2284</v>
      </c>
      <c r="C694" s="1" t="str">
        <f>"9780273764489"</f>
        <v>9780273764489</v>
      </c>
      <c r="D694" s="1" t="str">
        <f>"9780273765028"</f>
        <v>9780273765028</v>
      </c>
      <c r="E694" s="1" t="s">
        <v>52</v>
      </c>
      <c r="F694" s="1" t="s">
        <v>40</v>
      </c>
      <c r="G694" s="3">
        <v>41000</v>
      </c>
      <c r="H694" s="3">
        <v>1</v>
      </c>
      <c r="I694" s="1" t="s">
        <v>41</v>
      </c>
      <c r="J694" s="1">
        <v>4</v>
      </c>
      <c r="L694" s="1" t="s">
        <v>2285</v>
      </c>
      <c r="M694" s="1" t="s">
        <v>59</v>
      </c>
      <c r="N694" s="1" t="s">
        <v>2286</v>
      </c>
      <c r="O694" s="1">
        <v>658.15110000000004</v>
      </c>
      <c r="P694" s="1" t="s">
        <v>2287</v>
      </c>
      <c r="Q694" s="1" t="s">
        <v>46</v>
      </c>
      <c r="R694" s="1" t="s">
        <v>47</v>
      </c>
      <c r="S694" s="1" t="s">
        <v>47</v>
      </c>
      <c r="T694" s="1" t="s">
        <v>48</v>
      </c>
      <c r="U694" s="1" t="s">
        <v>47</v>
      </c>
      <c r="V694" s="1" t="s">
        <v>47</v>
      </c>
      <c r="W694" s="1" t="s">
        <v>47</v>
      </c>
      <c r="Z694" s="1">
        <v>0</v>
      </c>
      <c r="AB694" s="1" t="s">
        <v>47</v>
      </c>
      <c r="AD694" s="1">
        <v>385392</v>
      </c>
      <c r="AF694" s="1" t="s">
        <v>47</v>
      </c>
      <c r="AG694" s="1" t="s">
        <v>47</v>
      </c>
      <c r="AH694" s="1" t="s">
        <v>49</v>
      </c>
      <c r="AI694" s="1" t="s">
        <v>47</v>
      </c>
      <c r="AK694" s="1" t="s">
        <v>48</v>
      </c>
      <c r="AL694" s="1" t="s">
        <v>2288</v>
      </c>
    </row>
    <row r="695" spans="1:38">
      <c r="A695" s="1">
        <v>5138615</v>
      </c>
      <c r="B695" s="1" t="s">
        <v>2289</v>
      </c>
      <c r="C695" s="1" t="str">
        <f>"9781292027296"</f>
        <v>9781292027296</v>
      </c>
      <c r="D695" s="1" t="str">
        <f>"9781292054971"</f>
        <v>9781292054971</v>
      </c>
      <c r="E695" s="1" t="s">
        <v>52</v>
      </c>
      <c r="F695" s="1" t="s">
        <v>40</v>
      </c>
      <c r="G695" s="3">
        <v>41579</v>
      </c>
      <c r="H695" s="3">
        <v>1</v>
      </c>
      <c r="I695" s="1" t="s">
        <v>41</v>
      </c>
      <c r="J695" s="1">
        <v>2</v>
      </c>
      <c r="L695" s="1" t="s">
        <v>2290</v>
      </c>
      <c r="M695" s="1" t="s">
        <v>1497</v>
      </c>
      <c r="O695" s="1">
        <v>621.42999999999995</v>
      </c>
      <c r="Q695" s="1" t="s">
        <v>46</v>
      </c>
      <c r="R695" s="1" t="s">
        <v>47</v>
      </c>
      <c r="S695" s="1" t="s">
        <v>47</v>
      </c>
      <c r="T695" s="1" t="s">
        <v>48</v>
      </c>
      <c r="U695" s="1" t="s">
        <v>47</v>
      </c>
      <c r="V695" s="1" t="s">
        <v>47</v>
      </c>
      <c r="W695" s="1" t="s">
        <v>47</v>
      </c>
      <c r="Z695" s="1">
        <v>0</v>
      </c>
      <c r="AB695" s="1" t="s">
        <v>47</v>
      </c>
      <c r="AD695" s="1">
        <v>543448</v>
      </c>
      <c r="AF695" s="1" t="s">
        <v>47</v>
      </c>
      <c r="AG695" s="1" t="s">
        <v>47</v>
      </c>
      <c r="AH695" s="1" t="s">
        <v>49</v>
      </c>
      <c r="AI695" s="1" t="s">
        <v>47</v>
      </c>
      <c r="AK695" s="1" t="s">
        <v>48</v>
      </c>
      <c r="AL695" s="1" t="s">
        <v>2291</v>
      </c>
    </row>
    <row r="696" spans="1:38">
      <c r="A696" s="1">
        <v>5138616</v>
      </c>
      <c r="B696" s="1" t="s">
        <v>2292</v>
      </c>
      <c r="C696" s="1" t="str">
        <f>"9781408269541"</f>
        <v>9781408269541</v>
      </c>
      <c r="D696" s="1" t="str">
        <f>"9781408269565"</f>
        <v>9781408269565</v>
      </c>
      <c r="E696" s="1" t="s">
        <v>52</v>
      </c>
      <c r="F696" s="1" t="s">
        <v>40</v>
      </c>
      <c r="G696" s="3">
        <v>41424</v>
      </c>
      <c r="H696" s="3">
        <v>1</v>
      </c>
      <c r="I696" s="1" t="s">
        <v>41</v>
      </c>
      <c r="J696" s="1">
        <v>5</v>
      </c>
      <c r="L696" s="1" t="s">
        <v>2293</v>
      </c>
      <c r="M696" s="1" t="s">
        <v>372</v>
      </c>
      <c r="N696" s="1" t="s">
        <v>2294</v>
      </c>
      <c r="O696" s="1">
        <v>301</v>
      </c>
      <c r="P696" s="1" t="s">
        <v>2295</v>
      </c>
      <c r="Q696" s="1" t="s">
        <v>46</v>
      </c>
      <c r="R696" s="1" t="s">
        <v>47</v>
      </c>
      <c r="S696" s="1" t="s">
        <v>47</v>
      </c>
      <c r="T696" s="1" t="s">
        <v>48</v>
      </c>
      <c r="U696" s="1" t="s">
        <v>47</v>
      </c>
      <c r="V696" s="1" t="s">
        <v>47</v>
      </c>
      <c r="W696" s="1" t="s">
        <v>47</v>
      </c>
      <c r="Z696" s="1">
        <v>0</v>
      </c>
      <c r="AB696" s="1" t="s">
        <v>47</v>
      </c>
      <c r="AD696" s="1">
        <v>492445</v>
      </c>
      <c r="AF696" s="1" t="s">
        <v>47</v>
      </c>
      <c r="AG696" s="1" t="s">
        <v>47</v>
      </c>
      <c r="AH696" s="1" t="s">
        <v>49</v>
      </c>
      <c r="AI696" s="1" t="s">
        <v>47</v>
      </c>
      <c r="AK696" s="1" t="s">
        <v>48</v>
      </c>
      <c r="AL696" s="1" t="s">
        <v>2296</v>
      </c>
    </row>
    <row r="697" spans="1:38">
      <c r="A697" s="1">
        <v>5138617</v>
      </c>
      <c r="B697" s="1" t="s">
        <v>2297</v>
      </c>
      <c r="C697" s="1" t="str">
        <f>"9781292025933"</f>
        <v>9781292025933</v>
      </c>
      <c r="D697" s="1" t="str">
        <f>"9781292038353"</f>
        <v>9781292038353</v>
      </c>
      <c r="E697" s="1" t="s">
        <v>52</v>
      </c>
      <c r="F697" s="1" t="s">
        <v>40</v>
      </c>
      <c r="G697" s="3">
        <v>41515</v>
      </c>
      <c r="H697" s="3">
        <v>1</v>
      </c>
      <c r="I697" s="1" t="s">
        <v>41</v>
      </c>
      <c r="J697" s="1">
        <v>2</v>
      </c>
      <c r="L697" s="1" t="s">
        <v>2298</v>
      </c>
      <c r="Q697" s="1" t="s">
        <v>46</v>
      </c>
      <c r="R697" s="1" t="s">
        <v>47</v>
      </c>
      <c r="S697" s="1" t="s">
        <v>47</v>
      </c>
      <c r="T697" s="1" t="s">
        <v>48</v>
      </c>
      <c r="U697" s="1" t="s">
        <v>47</v>
      </c>
      <c r="V697" s="1" t="s">
        <v>47</v>
      </c>
      <c r="W697" s="1" t="s">
        <v>47</v>
      </c>
      <c r="Z697" s="1">
        <v>0</v>
      </c>
      <c r="AB697" s="1" t="s">
        <v>47</v>
      </c>
      <c r="AD697" s="1">
        <v>527311</v>
      </c>
      <c r="AF697" s="1" t="s">
        <v>47</v>
      </c>
      <c r="AG697" s="1" t="s">
        <v>47</v>
      </c>
      <c r="AH697" s="1" t="s">
        <v>49</v>
      </c>
      <c r="AI697" s="1" t="s">
        <v>47</v>
      </c>
      <c r="AK697" s="1" t="s">
        <v>48</v>
      </c>
      <c r="AL697" s="1" t="s">
        <v>2299</v>
      </c>
    </row>
    <row r="698" spans="1:38">
      <c r="A698" s="1">
        <v>5138618</v>
      </c>
      <c r="B698" s="1" t="s">
        <v>2300</v>
      </c>
      <c r="C698" s="1" t="str">
        <f>"9780131298101"</f>
        <v>9780131298101</v>
      </c>
      <c r="D698" s="1" t="str">
        <f>"9780273732600"</f>
        <v>9780273732600</v>
      </c>
      <c r="E698" s="1" t="s">
        <v>52</v>
      </c>
      <c r="F698" s="1" t="s">
        <v>157</v>
      </c>
      <c r="G698" s="3">
        <v>39580</v>
      </c>
      <c r="H698" s="3">
        <v>1</v>
      </c>
      <c r="I698" s="1" t="s">
        <v>41</v>
      </c>
      <c r="J698" s="1">
        <v>1</v>
      </c>
      <c r="L698" s="1" t="s">
        <v>2301</v>
      </c>
      <c r="M698" s="1" t="s">
        <v>100</v>
      </c>
      <c r="N698" s="1" t="s">
        <v>2003</v>
      </c>
      <c r="O698" s="1">
        <v>153</v>
      </c>
      <c r="P698" s="1" t="s">
        <v>2004</v>
      </c>
      <c r="Q698" s="1" t="s">
        <v>46</v>
      </c>
      <c r="R698" s="1" t="s">
        <v>47</v>
      </c>
      <c r="S698" s="1" t="s">
        <v>47</v>
      </c>
      <c r="T698" s="1" t="s">
        <v>48</v>
      </c>
      <c r="U698" s="1" t="s">
        <v>47</v>
      </c>
      <c r="V698" s="1" t="s">
        <v>47</v>
      </c>
      <c r="W698" s="1" t="s">
        <v>47</v>
      </c>
      <c r="Z698" s="1">
        <v>0</v>
      </c>
      <c r="AB698" s="1" t="s">
        <v>47</v>
      </c>
      <c r="AD698" s="1">
        <v>235048</v>
      </c>
      <c r="AF698" s="1" t="s">
        <v>47</v>
      </c>
      <c r="AG698" s="1" t="s">
        <v>47</v>
      </c>
      <c r="AH698" s="1" t="s">
        <v>49</v>
      </c>
      <c r="AI698" s="1" t="s">
        <v>47</v>
      </c>
      <c r="AK698" s="1" t="s">
        <v>48</v>
      </c>
      <c r="AL698" s="1" t="s">
        <v>2302</v>
      </c>
    </row>
    <row r="699" spans="1:38">
      <c r="A699" s="1">
        <v>5138619</v>
      </c>
      <c r="B699" s="1" t="s">
        <v>2303</v>
      </c>
      <c r="C699" s="1" t="str">
        <f>"9781408222652"</f>
        <v>9781408222652</v>
      </c>
      <c r="D699" s="1" t="str">
        <f>"9781408222676"</f>
        <v>9781408222676</v>
      </c>
      <c r="E699" s="1" t="s">
        <v>52</v>
      </c>
      <c r="F699" s="1" t="s">
        <v>40</v>
      </c>
      <c r="G699" s="3">
        <v>40969</v>
      </c>
      <c r="H699" s="3">
        <v>1</v>
      </c>
      <c r="I699" s="1" t="s">
        <v>41</v>
      </c>
      <c r="J699" s="1">
        <v>1</v>
      </c>
      <c r="L699" s="1" t="s">
        <v>856</v>
      </c>
      <c r="M699" s="1" t="s">
        <v>162</v>
      </c>
      <c r="O699" s="1">
        <v>346.4203</v>
      </c>
      <c r="P699" s="1" t="s">
        <v>2304</v>
      </c>
      <c r="Q699" s="1" t="s">
        <v>46</v>
      </c>
      <c r="R699" s="1" t="s">
        <v>47</v>
      </c>
      <c r="S699" s="1" t="s">
        <v>47</v>
      </c>
      <c r="T699" s="1" t="s">
        <v>48</v>
      </c>
      <c r="U699" s="1" t="s">
        <v>47</v>
      </c>
      <c r="V699" s="1" t="s">
        <v>47</v>
      </c>
      <c r="W699" s="1" t="s">
        <v>47</v>
      </c>
      <c r="Z699" s="1">
        <v>0</v>
      </c>
      <c r="AB699" s="1" t="s">
        <v>47</v>
      </c>
      <c r="AD699" s="1">
        <v>385397</v>
      </c>
      <c r="AF699" s="1" t="s">
        <v>47</v>
      </c>
      <c r="AG699" s="1" t="s">
        <v>47</v>
      </c>
      <c r="AH699" s="1" t="s">
        <v>49</v>
      </c>
      <c r="AI699" s="1" t="s">
        <v>47</v>
      </c>
      <c r="AK699" s="1" t="s">
        <v>48</v>
      </c>
      <c r="AL699" s="1" t="s">
        <v>2305</v>
      </c>
    </row>
    <row r="700" spans="1:38">
      <c r="A700" s="1">
        <v>5138627</v>
      </c>
      <c r="B700" s="1" t="s">
        <v>495</v>
      </c>
      <c r="C700" s="1" t="str">
        <f>"9781292021935"</f>
        <v>9781292021935</v>
      </c>
      <c r="D700" s="1" t="str">
        <f>"9781292035147"</f>
        <v>9781292035147</v>
      </c>
      <c r="E700" s="1" t="s">
        <v>52</v>
      </c>
      <c r="F700" s="1" t="s">
        <v>40</v>
      </c>
      <c r="G700" s="3">
        <v>41513</v>
      </c>
      <c r="H700" s="3">
        <v>1</v>
      </c>
      <c r="I700" s="1" t="s">
        <v>41</v>
      </c>
      <c r="J700" s="1">
        <v>2</v>
      </c>
      <c r="L700" s="1" t="s">
        <v>283</v>
      </c>
      <c r="Q700" s="1" t="s">
        <v>46</v>
      </c>
      <c r="R700" s="1" t="s">
        <v>47</v>
      </c>
      <c r="S700" s="1" t="s">
        <v>47</v>
      </c>
      <c r="T700" s="1" t="s">
        <v>48</v>
      </c>
      <c r="U700" s="1" t="s">
        <v>47</v>
      </c>
      <c r="V700" s="1" t="s">
        <v>47</v>
      </c>
      <c r="W700" s="1" t="s">
        <v>47</v>
      </c>
      <c r="Z700" s="1">
        <v>0</v>
      </c>
      <c r="AB700" s="1" t="s">
        <v>47</v>
      </c>
      <c r="AD700" s="1">
        <v>527066</v>
      </c>
      <c r="AF700" s="1" t="s">
        <v>47</v>
      </c>
      <c r="AG700" s="1" t="s">
        <v>47</v>
      </c>
      <c r="AH700" s="1" t="s">
        <v>49</v>
      </c>
      <c r="AI700" s="1" t="s">
        <v>47</v>
      </c>
      <c r="AK700" s="1" t="s">
        <v>48</v>
      </c>
      <c r="AL700" s="1" t="s">
        <v>2306</v>
      </c>
    </row>
    <row r="701" spans="1:38">
      <c r="A701" s="1">
        <v>5138629</v>
      </c>
      <c r="B701" s="1" t="s">
        <v>2307</v>
      </c>
      <c r="C701" s="1" t="str">
        <f>"9781292041360"</f>
        <v>9781292041360</v>
      </c>
      <c r="D701" s="1" t="str">
        <f>"9781292055022"</f>
        <v>9781292055022</v>
      </c>
      <c r="E701" s="1" t="s">
        <v>52</v>
      </c>
      <c r="F701" s="1" t="s">
        <v>40</v>
      </c>
      <c r="G701" s="3">
        <v>41579</v>
      </c>
      <c r="H701" s="3">
        <v>1</v>
      </c>
      <c r="I701" s="1" t="s">
        <v>41</v>
      </c>
      <c r="J701" s="1">
        <v>4</v>
      </c>
      <c r="L701" s="1" t="s">
        <v>2308</v>
      </c>
      <c r="M701" s="1" t="s">
        <v>54</v>
      </c>
      <c r="O701" s="1">
        <v>372.92599999999999</v>
      </c>
      <c r="Q701" s="1" t="s">
        <v>46</v>
      </c>
      <c r="R701" s="1" t="s">
        <v>47</v>
      </c>
      <c r="S701" s="1" t="s">
        <v>47</v>
      </c>
      <c r="T701" s="1" t="s">
        <v>48</v>
      </c>
      <c r="U701" s="1" t="s">
        <v>47</v>
      </c>
      <c r="V701" s="1" t="s">
        <v>47</v>
      </c>
      <c r="W701" s="1" t="s">
        <v>47</v>
      </c>
      <c r="Z701" s="1">
        <v>0</v>
      </c>
      <c r="AB701" s="1" t="s">
        <v>47</v>
      </c>
      <c r="AD701" s="1">
        <v>543479</v>
      </c>
      <c r="AF701" s="1" t="s">
        <v>47</v>
      </c>
      <c r="AG701" s="1" t="s">
        <v>47</v>
      </c>
      <c r="AH701" s="1" t="s">
        <v>49</v>
      </c>
      <c r="AI701" s="1" t="s">
        <v>47</v>
      </c>
      <c r="AK701" s="1" t="s">
        <v>48</v>
      </c>
      <c r="AL701" s="1" t="s">
        <v>2309</v>
      </c>
    </row>
    <row r="702" spans="1:38">
      <c r="A702" s="1">
        <v>5138633</v>
      </c>
      <c r="B702" s="1" t="s">
        <v>2310</v>
      </c>
      <c r="C702" s="1" t="str">
        <f>"9781292040417"</f>
        <v>9781292040417</v>
      </c>
      <c r="D702" s="1" t="str">
        <f>"9781292055046"</f>
        <v>9781292055046</v>
      </c>
      <c r="E702" s="1" t="s">
        <v>52</v>
      </c>
      <c r="F702" s="1" t="s">
        <v>40</v>
      </c>
      <c r="G702" s="3">
        <v>41579</v>
      </c>
      <c r="H702" s="3">
        <v>1</v>
      </c>
      <c r="I702" s="1" t="s">
        <v>41</v>
      </c>
      <c r="J702" s="1">
        <v>7</v>
      </c>
      <c r="L702" s="1" t="s">
        <v>2311</v>
      </c>
      <c r="M702" s="1" t="s">
        <v>1010</v>
      </c>
      <c r="O702" s="1">
        <v>570</v>
      </c>
      <c r="Q702" s="1" t="s">
        <v>46</v>
      </c>
      <c r="R702" s="1" t="s">
        <v>47</v>
      </c>
      <c r="S702" s="1" t="s">
        <v>47</v>
      </c>
      <c r="T702" s="1" t="s">
        <v>48</v>
      </c>
      <c r="U702" s="1" t="s">
        <v>47</v>
      </c>
      <c r="V702" s="1" t="s">
        <v>47</v>
      </c>
      <c r="W702" s="1" t="s">
        <v>47</v>
      </c>
      <c r="Z702" s="1">
        <v>0</v>
      </c>
      <c r="AB702" s="1" t="s">
        <v>47</v>
      </c>
      <c r="AD702" s="1">
        <v>543392</v>
      </c>
      <c r="AF702" s="1" t="s">
        <v>47</v>
      </c>
      <c r="AG702" s="1" t="s">
        <v>47</v>
      </c>
      <c r="AH702" s="1" t="s">
        <v>49</v>
      </c>
      <c r="AI702" s="1" t="s">
        <v>47</v>
      </c>
      <c r="AK702" s="1" t="s">
        <v>48</v>
      </c>
      <c r="AL702" s="1" t="s">
        <v>2312</v>
      </c>
    </row>
    <row r="703" spans="1:38">
      <c r="A703" s="1">
        <v>5138636</v>
      </c>
      <c r="B703" s="1" t="s">
        <v>2313</v>
      </c>
      <c r="C703" s="1" t="str">
        <f>"9781408280829"</f>
        <v>9781408280829</v>
      </c>
      <c r="D703" s="1" t="str">
        <f>"9781408280843"</f>
        <v>9781408280843</v>
      </c>
      <c r="E703" s="1" t="s">
        <v>52</v>
      </c>
      <c r="F703" s="1" t="s">
        <v>40</v>
      </c>
      <c r="G703" s="3">
        <v>41061</v>
      </c>
      <c r="H703" s="3">
        <v>1</v>
      </c>
      <c r="I703" s="1" t="s">
        <v>41</v>
      </c>
      <c r="J703" s="1">
        <v>1</v>
      </c>
      <c r="L703" s="1" t="s">
        <v>2314</v>
      </c>
      <c r="M703" s="1" t="s">
        <v>422</v>
      </c>
      <c r="N703" s="1" t="s">
        <v>2315</v>
      </c>
      <c r="O703" s="1">
        <v>540.24570000000006</v>
      </c>
      <c r="P703" s="1" t="s">
        <v>2316</v>
      </c>
      <c r="Q703" s="1" t="s">
        <v>46</v>
      </c>
      <c r="R703" s="1" t="s">
        <v>47</v>
      </c>
      <c r="S703" s="1" t="s">
        <v>47</v>
      </c>
      <c r="T703" s="1" t="s">
        <v>48</v>
      </c>
      <c r="U703" s="1" t="s">
        <v>47</v>
      </c>
      <c r="V703" s="1" t="s">
        <v>47</v>
      </c>
      <c r="W703" s="1" t="s">
        <v>47</v>
      </c>
      <c r="Z703" s="1">
        <v>0</v>
      </c>
      <c r="AB703" s="1" t="s">
        <v>47</v>
      </c>
      <c r="AD703" s="1">
        <v>485116</v>
      </c>
      <c r="AF703" s="1" t="s">
        <v>47</v>
      </c>
      <c r="AG703" s="1" t="s">
        <v>47</v>
      </c>
      <c r="AH703" s="1" t="s">
        <v>49</v>
      </c>
      <c r="AI703" s="1" t="s">
        <v>47</v>
      </c>
      <c r="AK703" s="1" t="s">
        <v>48</v>
      </c>
      <c r="AL703" s="1" t="s">
        <v>2317</v>
      </c>
    </row>
    <row r="704" spans="1:38">
      <c r="A704" s="1">
        <v>5138645</v>
      </c>
      <c r="B704" s="1" t="s">
        <v>2318</v>
      </c>
      <c r="C704" s="1" t="str">
        <f>"9781292040561"</f>
        <v>9781292040561</v>
      </c>
      <c r="D704" s="1" t="str">
        <f>"9781292055060"</f>
        <v>9781292055060</v>
      </c>
      <c r="E704" s="1" t="s">
        <v>52</v>
      </c>
      <c r="F704" s="1" t="s">
        <v>40</v>
      </c>
      <c r="G704" s="3">
        <v>41579</v>
      </c>
      <c r="H704" s="3">
        <v>1</v>
      </c>
      <c r="I704" s="1" t="s">
        <v>41</v>
      </c>
      <c r="J704" s="1">
        <v>2</v>
      </c>
      <c r="L704" s="1" t="s">
        <v>2319</v>
      </c>
      <c r="M704" s="1" t="s">
        <v>1191</v>
      </c>
      <c r="O704" s="1">
        <v>629.89</v>
      </c>
      <c r="Q704" s="1" t="s">
        <v>46</v>
      </c>
      <c r="R704" s="1" t="s">
        <v>47</v>
      </c>
      <c r="S704" s="1" t="s">
        <v>47</v>
      </c>
      <c r="T704" s="1" t="s">
        <v>48</v>
      </c>
      <c r="U704" s="1" t="s">
        <v>47</v>
      </c>
      <c r="V704" s="1" t="s">
        <v>47</v>
      </c>
      <c r="W704" s="1" t="s">
        <v>47</v>
      </c>
      <c r="Z704" s="1">
        <v>0</v>
      </c>
      <c r="AB704" s="1" t="s">
        <v>47</v>
      </c>
      <c r="AD704" s="1">
        <v>543564</v>
      </c>
      <c r="AF704" s="1" t="s">
        <v>47</v>
      </c>
      <c r="AG704" s="1" t="s">
        <v>47</v>
      </c>
      <c r="AH704" s="1" t="s">
        <v>49</v>
      </c>
      <c r="AI704" s="1" t="s">
        <v>47</v>
      </c>
      <c r="AK704" s="1" t="s">
        <v>48</v>
      </c>
      <c r="AL704" s="1" t="s">
        <v>2320</v>
      </c>
    </row>
    <row r="705" spans="1:38">
      <c r="A705" s="1">
        <v>5138652</v>
      </c>
      <c r="B705" s="1" t="s">
        <v>2321</v>
      </c>
      <c r="C705" s="1" t="str">
        <f>"9781292042633"</f>
        <v>9781292042633</v>
      </c>
      <c r="D705" s="1" t="str">
        <f>"9781292055091"</f>
        <v>9781292055091</v>
      </c>
      <c r="E705" s="1" t="s">
        <v>52</v>
      </c>
      <c r="F705" s="1" t="s">
        <v>40</v>
      </c>
      <c r="G705" s="3">
        <v>41579</v>
      </c>
      <c r="H705" s="3">
        <v>1</v>
      </c>
      <c r="I705" s="1" t="s">
        <v>41</v>
      </c>
      <c r="J705" s="1">
        <v>6</v>
      </c>
      <c r="L705" s="1" t="s">
        <v>2322</v>
      </c>
      <c r="M705" s="1" t="s">
        <v>372</v>
      </c>
      <c r="O705" s="1">
        <v>305.3</v>
      </c>
      <c r="Q705" s="1" t="s">
        <v>46</v>
      </c>
      <c r="R705" s="1" t="s">
        <v>47</v>
      </c>
      <c r="S705" s="1" t="s">
        <v>47</v>
      </c>
      <c r="T705" s="1" t="s">
        <v>48</v>
      </c>
      <c r="U705" s="1" t="s">
        <v>47</v>
      </c>
      <c r="V705" s="1" t="s">
        <v>47</v>
      </c>
      <c r="W705" s="1" t="s">
        <v>47</v>
      </c>
      <c r="Z705" s="1">
        <v>0</v>
      </c>
      <c r="AB705" s="1" t="s">
        <v>47</v>
      </c>
      <c r="AD705" s="1">
        <v>543486</v>
      </c>
      <c r="AF705" s="1" t="s">
        <v>47</v>
      </c>
      <c r="AG705" s="1" t="s">
        <v>47</v>
      </c>
      <c r="AH705" s="1" t="s">
        <v>49</v>
      </c>
      <c r="AI705" s="1" t="s">
        <v>47</v>
      </c>
      <c r="AK705" s="1" t="s">
        <v>48</v>
      </c>
      <c r="AL705" s="1" t="s">
        <v>2323</v>
      </c>
    </row>
    <row r="706" spans="1:38">
      <c r="A706" s="1">
        <v>5138653</v>
      </c>
      <c r="B706" s="1" t="s">
        <v>2324</v>
      </c>
      <c r="C706" s="1" t="str">
        <f>"9781292022772"</f>
        <v>9781292022772</v>
      </c>
      <c r="D706" s="1" t="str">
        <f>"9781292035970"</f>
        <v>9781292035970</v>
      </c>
      <c r="E706" s="1" t="s">
        <v>52</v>
      </c>
      <c r="F706" s="1" t="s">
        <v>40</v>
      </c>
      <c r="G706" s="3">
        <v>41514</v>
      </c>
      <c r="H706" s="3">
        <v>1</v>
      </c>
      <c r="I706" s="1" t="s">
        <v>41</v>
      </c>
      <c r="J706" s="1">
        <v>6</v>
      </c>
      <c r="L706" s="1" t="s">
        <v>2325</v>
      </c>
      <c r="Q706" s="1" t="s">
        <v>46</v>
      </c>
      <c r="R706" s="1" t="s">
        <v>47</v>
      </c>
      <c r="S706" s="1" t="s">
        <v>47</v>
      </c>
      <c r="T706" s="1" t="s">
        <v>48</v>
      </c>
      <c r="U706" s="1" t="s">
        <v>47</v>
      </c>
      <c r="V706" s="1" t="s">
        <v>47</v>
      </c>
      <c r="W706" s="1" t="s">
        <v>47</v>
      </c>
      <c r="Z706" s="1">
        <v>0</v>
      </c>
      <c r="AB706" s="1" t="s">
        <v>47</v>
      </c>
      <c r="AD706" s="1">
        <v>527171</v>
      </c>
      <c r="AF706" s="1" t="s">
        <v>47</v>
      </c>
      <c r="AG706" s="1" t="s">
        <v>47</v>
      </c>
      <c r="AH706" s="1" t="s">
        <v>49</v>
      </c>
      <c r="AI706" s="1" t="s">
        <v>47</v>
      </c>
      <c r="AK706" s="1" t="s">
        <v>48</v>
      </c>
      <c r="AL706" s="1" t="s">
        <v>2326</v>
      </c>
    </row>
    <row r="707" spans="1:38">
      <c r="A707" s="1">
        <v>5138654</v>
      </c>
      <c r="B707" s="1" t="s">
        <v>2327</v>
      </c>
      <c r="C707" s="1" t="str">
        <f>"9781292027081"</f>
        <v>9781292027081</v>
      </c>
      <c r="D707" s="1" t="str">
        <f>"9781292055107"</f>
        <v>9781292055107</v>
      </c>
      <c r="E707" s="1" t="s">
        <v>52</v>
      </c>
      <c r="F707" s="1" t="s">
        <v>40</v>
      </c>
      <c r="G707" s="3">
        <v>41579</v>
      </c>
      <c r="H707" s="3">
        <v>1</v>
      </c>
      <c r="I707" s="1" t="s">
        <v>41</v>
      </c>
      <c r="J707" s="1">
        <v>2</v>
      </c>
      <c r="L707" s="1" t="s">
        <v>2328</v>
      </c>
      <c r="M707" s="1" t="s">
        <v>43</v>
      </c>
      <c r="O707" s="1">
        <v>624.01519719999999</v>
      </c>
      <c r="Q707" s="1" t="s">
        <v>46</v>
      </c>
      <c r="R707" s="1" t="s">
        <v>47</v>
      </c>
      <c r="S707" s="1" t="s">
        <v>47</v>
      </c>
      <c r="T707" s="1" t="s">
        <v>48</v>
      </c>
      <c r="U707" s="1" t="s">
        <v>47</v>
      </c>
      <c r="V707" s="1" t="s">
        <v>47</v>
      </c>
      <c r="W707" s="1" t="s">
        <v>47</v>
      </c>
      <c r="Z707" s="1">
        <v>0</v>
      </c>
      <c r="AB707" s="1" t="s">
        <v>47</v>
      </c>
      <c r="AD707" s="1">
        <v>543462</v>
      </c>
      <c r="AF707" s="1" t="s">
        <v>47</v>
      </c>
      <c r="AG707" s="1" t="s">
        <v>47</v>
      </c>
      <c r="AH707" s="1" t="s">
        <v>49</v>
      </c>
      <c r="AI707" s="1" t="s">
        <v>47</v>
      </c>
      <c r="AK707" s="1" t="s">
        <v>48</v>
      </c>
      <c r="AL707" s="1" t="s">
        <v>2329</v>
      </c>
    </row>
    <row r="708" spans="1:38">
      <c r="A708" s="1">
        <v>5138655</v>
      </c>
      <c r="B708" s="1" t="s">
        <v>2330</v>
      </c>
      <c r="C708" s="1" t="str">
        <f>"9781292022642"</f>
        <v>9781292022642</v>
      </c>
      <c r="D708" s="1" t="str">
        <f>"9781292035840"</f>
        <v>9781292035840</v>
      </c>
      <c r="E708" s="1" t="s">
        <v>52</v>
      </c>
      <c r="F708" s="1" t="s">
        <v>40</v>
      </c>
      <c r="G708" s="3">
        <v>41478</v>
      </c>
      <c r="H708" s="3">
        <v>1</v>
      </c>
      <c r="I708" s="1" t="s">
        <v>41</v>
      </c>
      <c r="J708" s="1">
        <v>1</v>
      </c>
      <c r="L708" s="1" t="s">
        <v>2331</v>
      </c>
      <c r="M708" s="1" t="s">
        <v>1633</v>
      </c>
      <c r="O708" s="1">
        <v>530</v>
      </c>
      <c r="Q708" s="1" t="s">
        <v>46</v>
      </c>
      <c r="R708" s="1" t="s">
        <v>47</v>
      </c>
      <c r="S708" s="1" t="s">
        <v>47</v>
      </c>
      <c r="T708" s="1" t="s">
        <v>48</v>
      </c>
      <c r="U708" s="1" t="s">
        <v>47</v>
      </c>
      <c r="V708" s="1" t="s">
        <v>47</v>
      </c>
      <c r="W708" s="1" t="s">
        <v>47</v>
      </c>
      <c r="Z708" s="1">
        <v>0</v>
      </c>
      <c r="AB708" s="1" t="s">
        <v>47</v>
      </c>
      <c r="AD708" s="1">
        <v>527122</v>
      </c>
      <c r="AF708" s="1" t="s">
        <v>47</v>
      </c>
      <c r="AG708" s="1" t="s">
        <v>47</v>
      </c>
      <c r="AH708" s="1" t="s">
        <v>49</v>
      </c>
      <c r="AI708" s="1" t="s">
        <v>47</v>
      </c>
      <c r="AK708" s="1" t="s">
        <v>48</v>
      </c>
      <c r="AL708" s="1" t="s">
        <v>2332</v>
      </c>
    </row>
    <row r="709" spans="1:38">
      <c r="A709" s="1">
        <v>5138656</v>
      </c>
      <c r="B709" s="1" t="s">
        <v>2333</v>
      </c>
      <c r="C709" s="1" t="str">
        <f>"9781292022529"</f>
        <v>9781292022529</v>
      </c>
      <c r="D709" s="1" t="str">
        <f>"9781292035727"</f>
        <v>9781292035727</v>
      </c>
      <c r="E709" s="1" t="s">
        <v>52</v>
      </c>
      <c r="F709" s="1" t="s">
        <v>40</v>
      </c>
      <c r="G709" s="3">
        <v>41485</v>
      </c>
      <c r="H709" s="3">
        <v>1</v>
      </c>
      <c r="I709" s="1" t="s">
        <v>41</v>
      </c>
      <c r="J709" s="1">
        <v>1</v>
      </c>
      <c r="L709" s="1" t="s">
        <v>2334</v>
      </c>
      <c r="M709" s="1" t="s">
        <v>100</v>
      </c>
      <c r="O709" s="1">
        <v>150.28700000000001</v>
      </c>
      <c r="Q709" s="1" t="s">
        <v>46</v>
      </c>
      <c r="R709" s="1" t="s">
        <v>47</v>
      </c>
      <c r="S709" s="1" t="s">
        <v>47</v>
      </c>
      <c r="T709" s="1" t="s">
        <v>48</v>
      </c>
      <c r="U709" s="1" t="s">
        <v>47</v>
      </c>
      <c r="V709" s="1" t="s">
        <v>47</v>
      </c>
      <c r="W709" s="1" t="s">
        <v>47</v>
      </c>
      <c r="Z709" s="1">
        <v>0</v>
      </c>
      <c r="AB709" s="1" t="s">
        <v>47</v>
      </c>
      <c r="AD709" s="1">
        <v>527029</v>
      </c>
      <c r="AF709" s="1" t="s">
        <v>47</v>
      </c>
      <c r="AG709" s="1" t="s">
        <v>47</v>
      </c>
      <c r="AH709" s="1" t="s">
        <v>49</v>
      </c>
      <c r="AI709" s="1" t="s">
        <v>47</v>
      </c>
      <c r="AK709" s="1" t="s">
        <v>48</v>
      </c>
      <c r="AL709" s="1" t="s">
        <v>2335</v>
      </c>
    </row>
    <row r="710" spans="1:38">
      <c r="A710" s="1">
        <v>5138660</v>
      </c>
      <c r="B710" s="1" t="s">
        <v>2336</v>
      </c>
      <c r="C710" s="1" t="str">
        <f>"9781408257449"</f>
        <v>9781408257449</v>
      </c>
      <c r="D710" s="1" t="str">
        <f>"9781408257456"</f>
        <v>9781408257456</v>
      </c>
      <c r="E710" s="1" t="s">
        <v>52</v>
      </c>
      <c r="F710" s="1" t="s">
        <v>195</v>
      </c>
      <c r="G710" s="3">
        <v>40724</v>
      </c>
      <c r="H710" s="3">
        <v>1</v>
      </c>
      <c r="I710" s="1" t="s">
        <v>41</v>
      </c>
      <c r="J710" s="1">
        <v>8</v>
      </c>
      <c r="L710" s="1" t="s">
        <v>2337</v>
      </c>
      <c r="M710" s="1" t="s">
        <v>162</v>
      </c>
      <c r="N710" s="1" t="s">
        <v>2338</v>
      </c>
      <c r="O710" s="1">
        <v>349.4203</v>
      </c>
      <c r="P710" s="1" t="s">
        <v>2118</v>
      </c>
      <c r="Q710" s="1" t="s">
        <v>46</v>
      </c>
      <c r="R710" s="1" t="s">
        <v>47</v>
      </c>
      <c r="S710" s="1" t="s">
        <v>47</v>
      </c>
      <c r="T710" s="1" t="s">
        <v>48</v>
      </c>
      <c r="U710" s="1" t="s">
        <v>47</v>
      </c>
      <c r="V710" s="1" t="s">
        <v>47</v>
      </c>
      <c r="W710" s="1" t="s">
        <v>47</v>
      </c>
      <c r="Z710" s="1">
        <v>0</v>
      </c>
      <c r="AB710" s="1" t="s">
        <v>47</v>
      </c>
      <c r="AD710" s="1">
        <v>327586</v>
      </c>
      <c r="AF710" s="1" t="s">
        <v>47</v>
      </c>
      <c r="AG710" s="1" t="s">
        <v>47</v>
      </c>
      <c r="AH710" s="1" t="s">
        <v>49</v>
      </c>
      <c r="AI710" s="1" t="s">
        <v>47</v>
      </c>
      <c r="AK710" s="1" t="s">
        <v>48</v>
      </c>
      <c r="AL710" s="1" t="s">
        <v>2339</v>
      </c>
    </row>
    <row r="711" spans="1:38">
      <c r="A711" s="1">
        <v>5138661</v>
      </c>
      <c r="B711" s="1" t="s">
        <v>2340</v>
      </c>
      <c r="C711" s="1" t="str">
        <f>"9781447922933"</f>
        <v>9781447922933</v>
      </c>
      <c r="D711" s="1" t="str">
        <f>"9781447922940"</f>
        <v>9781447922940</v>
      </c>
      <c r="E711" s="1" t="s">
        <v>52</v>
      </c>
      <c r="F711" s="1" t="s">
        <v>40</v>
      </c>
      <c r="G711" s="3">
        <v>41452</v>
      </c>
      <c r="H711" s="3">
        <v>1</v>
      </c>
      <c r="I711" s="1" t="s">
        <v>41</v>
      </c>
      <c r="J711" s="1">
        <v>11</v>
      </c>
      <c r="L711" s="1" t="s">
        <v>2341</v>
      </c>
      <c r="M711" s="1" t="s">
        <v>162</v>
      </c>
      <c r="O711" s="1">
        <v>346.42070000000001</v>
      </c>
      <c r="Q711" s="1" t="s">
        <v>46</v>
      </c>
      <c r="R711" s="1" t="s">
        <v>47</v>
      </c>
      <c r="S711" s="1" t="s">
        <v>47</v>
      </c>
      <c r="T711" s="1" t="s">
        <v>48</v>
      </c>
      <c r="U711" s="1" t="s">
        <v>47</v>
      </c>
      <c r="V711" s="1" t="s">
        <v>47</v>
      </c>
      <c r="W711" s="1" t="s">
        <v>47</v>
      </c>
      <c r="Z711" s="1">
        <v>0</v>
      </c>
      <c r="AB711" s="1" t="s">
        <v>47</v>
      </c>
      <c r="AD711" s="1">
        <v>502451</v>
      </c>
      <c r="AF711" s="1" t="s">
        <v>47</v>
      </c>
      <c r="AG711" s="1" t="s">
        <v>47</v>
      </c>
      <c r="AH711" s="1" t="s">
        <v>49</v>
      </c>
      <c r="AI711" s="1" t="s">
        <v>47</v>
      </c>
      <c r="AK711" s="1" t="s">
        <v>48</v>
      </c>
      <c r="AL711" s="1" t="s">
        <v>2342</v>
      </c>
    </row>
    <row r="712" spans="1:38">
      <c r="A712" s="1">
        <v>5138662</v>
      </c>
      <c r="B712" s="1" t="s">
        <v>2343</v>
      </c>
      <c r="C712" s="1" t="str">
        <f>"9781408277348"</f>
        <v>9781408277348</v>
      </c>
      <c r="D712" s="1" t="str">
        <f>"9781408278888"</f>
        <v>9781408278888</v>
      </c>
      <c r="E712" s="1" t="s">
        <v>52</v>
      </c>
      <c r="F712" s="1" t="s">
        <v>40</v>
      </c>
      <c r="G712" s="3">
        <v>41183</v>
      </c>
      <c r="H712" s="3">
        <v>1</v>
      </c>
      <c r="I712" s="1" t="s">
        <v>41</v>
      </c>
      <c r="J712" s="1">
        <v>1</v>
      </c>
      <c r="L712" s="1" t="s">
        <v>2344</v>
      </c>
      <c r="M712" s="1" t="s">
        <v>162</v>
      </c>
      <c r="N712" s="1" t="s">
        <v>2345</v>
      </c>
      <c r="O712" s="1">
        <v>340.1</v>
      </c>
      <c r="Q712" s="1" t="s">
        <v>46</v>
      </c>
      <c r="R712" s="1" t="s">
        <v>47</v>
      </c>
      <c r="S712" s="1" t="s">
        <v>47</v>
      </c>
      <c r="T712" s="1" t="s">
        <v>48</v>
      </c>
      <c r="U712" s="1" t="s">
        <v>47</v>
      </c>
      <c r="V712" s="1" t="s">
        <v>47</v>
      </c>
      <c r="W712" s="1" t="s">
        <v>47</v>
      </c>
      <c r="Z712" s="1">
        <v>0</v>
      </c>
      <c r="AB712" s="1" t="s">
        <v>47</v>
      </c>
      <c r="AD712" s="1">
        <v>463019</v>
      </c>
      <c r="AF712" s="1" t="s">
        <v>47</v>
      </c>
      <c r="AG712" s="1" t="s">
        <v>47</v>
      </c>
      <c r="AH712" s="1" t="s">
        <v>49</v>
      </c>
      <c r="AI712" s="1" t="s">
        <v>47</v>
      </c>
      <c r="AK712" s="1" t="s">
        <v>48</v>
      </c>
      <c r="AL712" s="1" t="s">
        <v>2346</v>
      </c>
    </row>
    <row r="713" spans="1:38">
      <c r="A713" s="1">
        <v>5138663</v>
      </c>
      <c r="B713" s="1" t="s">
        <v>2347</v>
      </c>
      <c r="C713" s="1" t="str">
        <f>"9781292042046"</f>
        <v>9781292042046</v>
      </c>
      <c r="D713" s="1" t="str">
        <f>"9781292055114"</f>
        <v>9781292055114</v>
      </c>
      <c r="E713" s="1" t="s">
        <v>52</v>
      </c>
      <c r="F713" s="1" t="s">
        <v>40</v>
      </c>
      <c r="G713" s="3">
        <v>41579</v>
      </c>
      <c r="H713" s="3">
        <v>1</v>
      </c>
      <c r="I713" s="1" t="s">
        <v>41</v>
      </c>
      <c r="J713" s="1">
        <v>12</v>
      </c>
      <c r="L713" s="1" t="s">
        <v>2348</v>
      </c>
      <c r="M713" s="1" t="s">
        <v>922</v>
      </c>
      <c r="O713" s="1">
        <v>332</v>
      </c>
      <c r="Q713" s="1" t="s">
        <v>46</v>
      </c>
      <c r="R713" s="1" t="s">
        <v>47</v>
      </c>
      <c r="S713" s="1" t="s">
        <v>47</v>
      </c>
      <c r="T713" s="1" t="s">
        <v>48</v>
      </c>
      <c r="U713" s="1" t="s">
        <v>47</v>
      </c>
      <c r="V713" s="1" t="s">
        <v>47</v>
      </c>
      <c r="W713" s="1" t="s">
        <v>47</v>
      </c>
      <c r="Z713" s="1">
        <v>0</v>
      </c>
      <c r="AB713" s="1" t="s">
        <v>47</v>
      </c>
      <c r="AD713" s="1">
        <v>543604</v>
      </c>
      <c r="AF713" s="1" t="s">
        <v>47</v>
      </c>
      <c r="AG713" s="1" t="s">
        <v>47</v>
      </c>
      <c r="AH713" s="1" t="s">
        <v>49</v>
      </c>
      <c r="AI713" s="1" t="s">
        <v>47</v>
      </c>
      <c r="AK713" s="1" t="s">
        <v>48</v>
      </c>
      <c r="AL713" s="1" t="s">
        <v>2349</v>
      </c>
    </row>
    <row r="714" spans="1:38">
      <c r="A714" s="1">
        <v>5138673</v>
      </c>
      <c r="B714" s="1" t="s">
        <v>2350</v>
      </c>
      <c r="C714" s="1" t="str">
        <f>""</f>
        <v/>
      </c>
      <c r="D714" s="1" t="str">
        <f>"9780273766193"</f>
        <v>9780273766193</v>
      </c>
      <c r="E714" s="1" t="s">
        <v>52</v>
      </c>
      <c r="F714" s="1" t="s">
        <v>365</v>
      </c>
      <c r="G714" s="3">
        <v>41323</v>
      </c>
      <c r="H714" s="3">
        <v>1</v>
      </c>
      <c r="I714" s="1" t="s">
        <v>41</v>
      </c>
      <c r="J714" s="1">
        <v>8</v>
      </c>
      <c r="L714" s="1" t="s">
        <v>2351</v>
      </c>
      <c r="Q714" s="1" t="s">
        <v>46</v>
      </c>
      <c r="R714" s="1" t="s">
        <v>47</v>
      </c>
      <c r="S714" s="1" t="s">
        <v>47</v>
      </c>
      <c r="T714" s="1" t="s">
        <v>48</v>
      </c>
      <c r="U714" s="1" t="s">
        <v>47</v>
      </c>
      <c r="V714" s="1" t="s">
        <v>47</v>
      </c>
      <c r="W714" s="1" t="s">
        <v>47</v>
      </c>
      <c r="Z714" s="1">
        <v>0</v>
      </c>
      <c r="AB714" s="1" t="s">
        <v>47</v>
      </c>
      <c r="AD714" s="1">
        <v>462973</v>
      </c>
      <c r="AF714" s="1" t="s">
        <v>47</v>
      </c>
      <c r="AG714" s="1" t="s">
        <v>47</v>
      </c>
      <c r="AH714" s="1" t="s">
        <v>49</v>
      </c>
      <c r="AI714" s="1" t="s">
        <v>47</v>
      </c>
      <c r="AK714" s="1" t="s">
        <v>48</v>
      </c>
      <c r="AL714" s="1" t="s">
        <v>2352</v>
      </c>
    </row>
    <row r="715" spans="1:38">
      <c r="A715" s="1">
        <v>5138676</v>
      </c>
      <c r="B715" s="1" t="s">
        <v>2353</v>
      </c>
      <c r="C715" s="1" t="str">
        <f>"9781292027302"</f>
        <v>9781292027302</v>
      </c>
      <c r="D715" s="1" t="str">
        <f>"9781292055121"</f>
        <v>9781292055121</v>
      </c>
      <c r="E715" s="1" t="s">
        <v>52</v>
      </c>
      <c r="F715" s="1" t="s">
        <v>40</v>
      </c>
      <c r="G715" s="3">
        <v>41579</v>
      </c>
      <c r="H715" s="3">
        <v>1</v>
      </c>
      <c r="I715" s="1" t="s">
        <v>41</v>
      </c>
      <c r="J715" s="1">
        <v>5</v>
      </c>
      <c r="L715" s="1" t="s">
        <v>2354</v>
      </c>
      <c r="M715" s="1" t="s">
        <v>176</v>
      </c>
      <c r="O715" s="1">
        <v>491.782421</v>
      </c>
      <c r="Q715" s="1" t="s">
        <v>46</v>
      </c>
      <c r="R715" s="1" t="s">
        <v>47</v>
      </c>
      <c r="S715" s="1" t="s">
        <v>47</v>
      </c>
      <c r="T715" s="1" t="s">
        <v>48</v>
      </c>
      <c r="U715" s="1" t="s">
        <v>47</v>
      </c>
      <c r="V715" s="1" t="s">
        <v>47</v>
      </c>
      <c r="W715" s="1" t="s">
        <v>47</v>
      </c>
      <c r="Z715" s="1">
        <v>0</v>
      </c>
      <c r="AB715" s="1" t="s">
        <v>47</v>
      </c>
      <c r="AD715" s="1">
        <v>543334</v>
      </c>
      <c r="AF715" s="1" t="s">
        <v>47</v>
      </c>
      <c r="AG715" s="1" t="s">
        <v>47</v>
      </c>
      <c r="AH715" s="1" t="s">
        <v>49</v>
      </c>
      <c r="AI715" s="1" t="s">
        <v>47</v>
      </c>
      <c r="AK715" s="1" t="s">
        <v>48</v>
      </c>
      <c r="AL715" s="1" t="s">
        <v>2355</v>
      </c>
    </row>
    <row r="716" spans="1:38">
      <c r="A716" s="1">
        <v>5138677</v>
      </c>
      <c r="B716" s="1" t="s">
        <v>2356</v>
      </c>
      <c r="C716" s="1" t="str">
        <f>"9781292021409"</f>
        <v>9781292021409</v>
      </c>
      <c r="D716" s="1" t="str">
        <f>"9781292034638"</f>
        <v>9781292034638</v>
      </c>
      <c r="E716" s="1" t="s">
        <v>52</v>
      </c>
      <c r="F716" s="1" t="s">
        <v>40</v>
      </c>
      <c r="G716" s="3">
        <v>41513</v>
      </c>
      <c r="H716" s="3">
        <v>1</v>
      </c>
      <c r="I716" s="1" t="s">
        <v>41</v>
      </c>
      <c r="J716" s="1">
        <v>3</v>
      </c>
      <c r="L716" s="1" t="s">
        <v>2357</v>
      </c>
      <c r="Q716" s="1" t="s">
        <v>46</v>
      </c>
      <c r="R716" s="1" t="s">
        <v>47</v>
      </c>
      <c r="S716" s="1" t="s">
        <v>47</v>
      </c>
      <c r="T716" s="1" t="s">
        <v>48</v>
      </c>
      <c r="U716" s="1" t="s">
        <v>47</v>
      </c>
      <c r="V716" s="1" t="s">
        <v>47</v>
      </c>
      <c r="W716" s="1" t="s">
        <v>47</v>
      </c>
      <c r="Z716" s="1">
        <v>0</v>
      </c>
      <c r="AB716" s="1" t="s">
        <v>47</v>
      </c>
      <c r="AD716" s="1">
        <v>527023</v>
      </c>
      <c r="AF716" s="1" t="s">
        <v>47</v>
      </c>
      <c r="AG716" s="1" t="s">
        <v>47</v>
      </c>
      <c r="AH716" s="1" t="s">
        <v>49</v>
      </c>
      <c r="AI716" s="1" t="s">
        <v>47</v>
      </c>
      <c r="AK716" s="1" t="s">
        <v>48</v>
      </c>
      <c r="AL716" s="1" t="s">
        <v>2358</v>
      </c>
    </row>
    <row r="717" spans="1:38">
      <c r="A717" s="1">
        <v>5138678</v>
      </c>
      <c r="B717" s="1" t="s">
        <v>2359</v>
      </c>
      <c r="C717" s="1" t="str">
        <f>"9781292022086"</f>
        <v>9781292022086</v>
      </c>
      <c r="D717" s="1" t="str">
        <f>"9781292035291"</f>
        <v>9781292035291</v>
      </c>
      <c r="E717" s="1" t="s">
        <v>52</v>
      </c>
      <c r="F717" s="1" t="s">
        <v>40</v>
      </c>
      <c r="G717" s="3">
        <v>41469</v>
      </c>
      <c r="H717" s="3">
        <v>1</v>
      </c>
      <c r="I717" s="1" t="s">
        <v>41</v>
      </c>
      <c r="J717" s="1">
        <v>6</v>
      </c>
      <c r="L717" s="1" t="s">
        <v>2360</v>
      </c>
      <c r="M717" s="1" t="s">
        <v>54</v>
      </c>
      <c r="O717" s="1">
        <v>371.334</v>
      </c>
      <c r="Q717" s="1" t="s">
        <v>46</v>
      </c>
      <c r="R717" s="1" t="s">
        <v>47</v>
      </c>
      <c r="S717" s="1" t="s">
        <v>47</v>
      </c>
      <c r="T717" s="1" t="s">
        <v>48</v>
      </c>
      <c r="U717" s="1" t="s">
        <v>47</v>
      </c>
      <c r="V717" s="1" t="s">
        <v>47</v>
      </c>
      <c r="W717" s="1" t="s">
        <v>47</v>
      </c>
      <c r="Z717" s="1">
        <v>0</v>
      </c>
      <c r="AB717" s="1" t="s">
        <v>47</v>
      </c>
      <c r="AD717" s="1">
        <v>527247</v>
      </c>
      <c r="AF717" s="1" t="s">
        <v>47</v>
      </c>
      <c r="AG717" s="1" t="s">
        <v>47</v>
      </c>
      <c r="AH717" s="1" t="s">
        <v>49</v>
      </c>
      <c r="AI717" s="1" t="s">
        <v>47</v>
      </c>
      <c r="AK717" s="1" t="s">
        <v>48</v>
      </c>
      <c r="AL717" s="1" t="s">
        <v>2361</v>
      </c>
    </row>
    <row r="718" spans="1:38">
      <c r="A718" s="1">
        <v>5138680</v>
      </c>
      <c r="B718" s="1" t="s">
        <v>2362</v>
      </c>
      <c r="C718" s="1" t="str">
        <f>"9781292027326"</f>
        <v>9781292027326</v>
      </c>
      <c r="D718" s="1" t="str">
        <f>"9781292055138"</f>
        <v>9781292055138</v>
      </c>
      <c r="E718" s="1" t="s">
        <v>52</v>
      </c>
      <c r="F718" s="1" t="s">
        <v>40</v>
      </c>
      <c r="G718" s="3">
        <v>41579</v>
      </c>
      <c r="H718" s="3">
        <v>1</v>
      </c>
      <c r="I718" s="1" t="s">
        <v>41</v>
      </c>
      <c r="J718" s="1">
        <v>3</v>
      </c>
      <c r="L718" s="1" t="s">
        <v>2363</v>
      </c>
      <c r="M718" s="1" t="s">
        <v>242</v>
      </c>
      <c r="O718" s="1">
        <v>512</v>
      </c>
      <c r="Q718" s="1" t="s">
        <v>46</v>
      </c>
      <c r="R718" s="1" t="s">
        <v>47</v>
      </c>
      <c r="S718" s="1" t="s">
        <v>47</v>
      </c>
      <c r="T718" s="1" t="s">
        <v>48</v>
      </c>
      <c r="U718" s="1" t="s">
        <v>47</v>
      </c>
      <c r="V718" s="1" t="s">
        <v>47</v>
      </c>
      <c r="W718" s="1" t="s">
        <v>47</v>
      </c>
      <c r="Z718" s="1">
        <v>0</v>
      </c>
      <c r="AB718" s="1" t="s">
        <v>47</v>
      </c>
      <c r="AD718" s="1">
        <v>543582</v>
      </c>
      <c r="AF718" s="1" t="s">
        <v>47</v>
      </c>
      <c r="AG718" s="1" t="s">
        <v>47</v>
      </c>
      <c r="AH718" s="1" t="s">
        <v>49</v>
      </c>
      <c r="AI718" s="1" t="s">
        <v>47</v>
      </c>
      <c r="AK718" s="1" t="s">
        <v>48</v>
      </c>
      <c r="AL718" s="1" t="s">
        <v>2364</v>
      </c>
    </row>
    <row r="719" spans="1:38">
      <c r="A719" s="1">
        <v>5138685</v>
      </c>
      <c r="B719" s="1" t="s">
        <v>2365</v>
      </c>
      <c r="C719" s="1" t="str">
        <f>"9781292026190"</f>
        <v>9781292026190</v>
      </c>
      <c r="D719" s="1" t="str">
        <f>"9781292038599"</f>
        <v>9781292038599</v>
      </c>
      <c r="E719" s="1" t="s">
        <v>52</v>
      </c>
      <c r="F719" s="1" t="s">
        <v>40</v>
      </c>
      <c r="G719" s="3">
        <v>41484</v>
      </c>
      <c r="H719" s="3">
        <v>1</v>
      </c>
      <c r="I719" s="1" t="s">
        <v>41</v>
      </c>
      <c r="J719" s="1">
        <v>3</v>
      </c>
      <c r="L719" s="1" t="s">
        <v>2366</v>
      </c>
      <c r="M719" s="1" t="s">
        <v>1107</v>
      </c>
      <c r="O719" s="1">
        <v>808.04200000000003</v>
      </c>
      <c r="Q719" s="1" t="s">
        <v>46</v>
      </c>
      <c r="R719" s="1" t="s">
        <v>47</v>
      </c>
      <c r="S719" s="1" t="s">
        <v>47</v>
      </c>
      <c r="T719" s="1" t="s">
        <v>48</v>
      </c>
      <c r="U719" s="1" t="s">
        <v>47</v>
      </c>
      <c r="V719" s="1" t="s">
        <v>47</v>
      </c>
      <c r="W719" s="1" t="s">
        <v>47</v>
      </c>
      <c r="Z719" s="1">
        <v>0</v>
      </c>
      <c r="AB719" s="1" t="s">
        <v>47</v>
      </c>
      <c r="AD719" s="1">
        <v>527379</v>
      </c>
      <c r="AF719" s="1" t="s">
        <v>47</v>
      </c>
      <c r="AG719" s="1" t="s">
        <v>47</v>
      </c>
      <c r="AH719" s="1" t="s">
        <v>49</v>
      </c>
      <c r="AI719" s="1" t="s">
        <v>47</v>
      </c>
      <c r="AK719" s="1" t="s">
        <v>48</v>
      </c>
      <c r="AL719" s="1" t="s">
        <v>2367</v>
      </c>
    </row>
    <row r="720" spans="1:38">
      <c r="A720" s="1">
        <v>5138690</v>
      </c>
      <c r="B720" s="1" t="s">
        <v>2368</v>
      </c>
      <c r="C720" s="1" t="str">
        <f>"9781292039572"</f>
        <v>9781292039572</v>
      </c>
      <c r="D720" s="1" t="str">
        <f>"9781292055152"</f>
        <v>9781292055152</v>
      </c>
      <c r="E720" s="1" t="s">
        <v>52</v>
      </c>
      <c r="F720" s="1" t="s">
        <v>40</v>
      </c>
      <c r="G720" s="3">
        <v>41579</v>
      </c>
      <c r="H720" s="3">
        <v>1</v>
      </c>
      <c r="I720" s="1" t="s">
        <v>41</v>
      </c>
      <c r="J720" s="1">
        <v>3</v>
      </c>
      <c r="L720" s="1" t="s">
        <v>2369</v>
      </c>
      <c r="M720" s="1" t="s">
        <v>1633</v>
      </c>
      <c r="O720" s="1">
        <v>534</v>
      </c>
      <c r="Q720" s="1" t="s">
        <v>46</v>
      </c>
      <c r="R720" s="1" t="s">
        <v>47</v>
      </c>
      <c r="S720" s="1" t="s">
        <v>47</v>
      </c>
      <c r="T720" s="1" t="s">
        <v>48</v>
      </c>
      <c r="U720" s="1" t="s">
        <v>47</v>
      </c>
      <c r="V720" s="1" t="s">
        <v>47</v>
      </c>
      <c r="W720" s="1" t="s">
        <v>47</v>
      </c>
      <c r="Z720" s="1">
        <v>0</v>
      </c>
      <c r="AB720" s="1" t="s">
        <v>47</v>
      </c>
      <c r="AD720" s="1">
        <v>543384</v>
      </c>
      <c r="AF720" s="1" t="s">
        <v>47</v>
      </c>
      <c r="AG720" s="1" t="s">
        <v>47</v>
      </c>
      <c r="AH720" s="1" t="s">
        <v>49</v>
      </c>
      <c r="AI720" s="1" t="s">
        <v>47</v>
      </c>
      <c r="AK720" s="1" t="s">
        <v>48</v>
      </c>
      <c r="AL720" s="1" t="s">
        <v>2370</v>
      </c>
    </row>
    <row r="721" spans="1:38">
      <c r="A721" s="1">
        <v>5138693</v>
      </c>
      <c r="B721" s="1" t="s">
        <v>2371</v>
      </c>
      <c r="C721" s="1" t="str">
        <f>"9781292021430"</f>
        <v>9781292021430</v>
      </c>
      <c r="D721" s="1" t="str">
        <f>"9781292034669"</f>
        <v>9781292034669</v>
      </c>
      <c r="E721" s="1" t="s">
        <v>52</v>
      </c>
      <c r="F721" s="1" t="s">
        <v>40</v>
      </c>
      <c r="G721" s="3">
        <v>41500</v>
      </c>
      <c r="H721" s="3">
        <v>1</v>
      </c>
      <c r="I721" s="1" t="s">
        <v>41</v>
      </c>
      <c r="J721" s="1">
        <v>11</v>
      </c>
      <c r="L721" s="1" t="s">
        <v>2372</v>
      </c>
      <c r="M721" s="1" t="s">
        <v>372</v>
      </c>
      <c r="O721" s="1">
        <v>304.2</v>
      </c>
      <c r="Q721" s="1" t="s">
        <v>46</v>
      </c>
      <c r="R721" s="1" t="s">
        <v>47</v>
      </c>
      <c r="S721" s="1" t="s">
        <v>47</v>
      </c>
      <c r="T721" s="1" t="s">
        <v>48</v>
      </c>
      <c r="U721" s="1" t="s">
        <v>47</v>
      </c>
      <c r="V721" s="1" t="s">
        <v>47</v>
      </c>
      <c r="W721" s="1" t="s">
        <v>47</v>
      </c>
      <c r="Z721" s="1">
        <v>0</v>
      </c>
      <c r="AB721" s="1" t="s">
        <v>47</v>
      </c>
      <c r="AD721" s="1">
        <v>527206</v>
      </c>
      <c r="AF721" s="1" t="s">
        <v>47</v>
      </c>
      <c r="AG721" s="1" t="s">
        <v>47</v>
      </c>
      <c r="AH721" s="1" t="s">
        <v>49</v>
      </c>
      <c r="AI721" s="1" t="s">
        <v>47</v>
      </c>
      <c r="AK721" s="1" t="s">
        <v>48</v>
      </c>
      <c r="AL721" s="1" t="s">
        <v>2373</v>
      </c>
    </row>
    <row r="722" spans="1:38">
      <c r="A722" s="1">
        <v>5138696</v>
      </c>
      <c r="B722" s="1" t="s">
        <v>2374</v>
      </c>
      <c r="C722" s="1" t="str">
        <f>"9781292026336"</f>
        <v>9781292026336</v>
      </c>
      <c r="D722" s="1" t="str">
        <f>"9781292038728"</f>
        <v>9781292038728</v>
      </c>
      <c r="E722" s="1" t="s">
        <v>52</v>
      </c>
      <c r="F722" s="1" t="s">
        <v>40</v>
      </c>
      <c r="G722" s="3">
        <v>41478</v>
      </c>
      <c r="H722" s="3">
        <v>1</v>
      </c>
      <c r="I722" s="1" t="s">
        <v>41</v>
      </c>
      <c r="J722" s="1">
        <v>3</v>
      </c>
      <c r="L722" s="1" t="s">
        <v>2375</v>
      </c>
      <c r="M722" s="1" t="s">
        <v>1010</v>
      </c>
      <c r="O722" s="1">
        <v>572.79999999999995</v>
      </c>
      <c r="Q722" s="1" t="s">
        <v>46</v>
      </c>
      <c r="R722" s="1" t="s">
        <v>47</v>
      </c>
      <c r="S722" s="1" t="s">
        <v>47</v>
      </c>
      <c r="T722" s="1" t="s">
        <v>48</v>
      </c>
      <c r="U722" s="1" t="s">
        <v>47</v>
      </c>
      <c r="V722" s="1" t="s">
        <v>47</v>
      </c>
      <c r="W722" s="1" t="s">
        <v>47</v>
      </c>
      <c r="Z722" s="1">
        <v>0</v>
      </c>
      <c r="AB722" s="1" t="s">
        <v>47</v>
      </c>
      <c r="AD722" s="1">
        <v>527187</v>
      </c>
      <c r="AF722" s="1" t="s">
        <v>47</v>
      </c>
      <c r="AG722" s="1" t="s">
        <v>47</v>
      </c>
      <c r="AH722" s="1" t="s">
        <v>49</v>
      </c>
      <c r="AI722" s="1" t="s">
        <v>47</v>
      </c>
      <c r="AK722" s="1" t="s">
        <v>48</v>
      </c>
      <c r="AL722" s="1" t="s">
        <v>2376</v>
      </c>
    </row>
    <row r="723" spans="1:38">
      <c r="A723" s="1">
        <v>5138697</v>
      </c>
      <c r="B723" s="1" t="s">
        <v>2377</v>
      </c>
      <c r="C723" s="1" t="str">
        <f>"9781292024202"</f>
        <v>9781292024202</v>
      </c>
      <c r="D723" s="1" t="str">
        <f>"9781292037172"</f>
        <v>9781292037172</v>
      </c>
      <c r="E723" s="1" t="s">
        <v>52</v>
      </c>
      <c r="F723" s="1" t="s">
        <v>40</v>
      </c>
      <c r="G723" s="3">
        <v>41515</v>
      </c>
      <c r="H723" s="3">
        <v>1</v>
      </c>
      <c r="I723" s="1" t="s">
        <v>41</v>
      </c>
      <c r="J723" s="1">
        <v>3</v>
      </c>
      <c r="L723" s="1" t="s">
        <v>2378</v>
      </c>
      <c r="Q723" s="1" t="s">
        <v>46</v>
      </c>
      <c r="R723" s="1" t="s">
        <v>47</v>
      </c>
      <c r="S723" s="1" t="s">
        <v>47</v>
      </c>
      <c r="T723" s="1" t="s">
        <v>48</v>
      </c>
      <c r="U723" s="1" t="s">
        <v>47</v>
      </c>
      <c r="V723" s="1" t="s">
        <v>47</v>
      </c>
      <c r="W723" s="1" t="s">
        <v>47</v>
      </c>
      <c r="Z723" s="1">
        <v>0</v>
      </c>
      <c r="AB723" s="1" t="s">
        <v>47</v>
      </c>
      <c r="AD723" s="1">
        <v>527151</v>
      </c>
      <c r="AF723" s="1" t="s">
        <v>47</v>
      </c>
      <c r="AG723" s="1" t="s">
        <v>47</v>
      </c>
      <c r="AH723" s="1" t="s">
        <v>49</v>
      </c>
      <c r="AI723" s="1" t="s">
        <v>47</v>
      </c>
      <c r="AK723" s="1" t="s">
        <v>48</v>
      </c>
      <c r="AL723" s="1" t="s">
        <v>2379</v>
      </c>
    </row>
    <row r="724" spans="1:38">
      <c r="A724" s="1">
        <v>5138699</v>
      </c>
      <c r="B724" s="1" t="s">
        <v>2380</v>
      </c>
      <c r="C724" s="1" t="str">
        <f>"9781292027678"</f>
        <v>9781292027678</v>
      </c>
      <c r="D724" s="1" t="str">
        <f>"9781292055176"</f>
        <v>9781292055176</v>
      </c>
      <c r="E724" s="1" t="s">
        <v>52</v>
      </c>
      <c r="F724" s="1" t="s">
        <v>40</v>
      </c>
      <c r="G724" s="3">
        <v>41579</v>
      </c>
      <c r="H724" s="3">
        <v>1</v>
      </c>
      <c r="I724" s="1" t="s">
        <v>41</v>
      </c>
      <c r="J724" s="1">
        <v>9</v>
      </c>
      <c r="L724" s="1" t="s">
        <v>2381</v>
      </c>
      <c r="M724" s="1" t="s">
        <v>1107</v>
      </c>
      <c r="O724" s="1">
        <v>808.04200000000003</v>
      </c>
      <c r="Q724" s="1" t="s">
        <v>46</v>
      </c>
      <c r="R724" s="1" t="s">
        <v>47</v>
      </c>
      <c r="S724" s="1" t="s">
        <v>47</v>
      </c>
      <c r="T724" s="1" t="s">
        <v>48</v>
      </c>
      <c r="U724" s="1" t="s">
        <v>47</v>
      </c>
      <c r="V724" s="1" t="s">
        <v>47</v>
      </c>
      <c r="W724" s="1" t="s">
        <v>47</v>
      </c>
      <c r="Z724" s="1">
        <v>0</v>
      </c>
      <c r="AB724" s="1" t="s">
        <v>47</v>
      </c>
      <c r="AD724" s="1">
        <v>543467</v>
      </c>
      <c r="AF724" s="1" t="s">
        <v>47</v>
      </c>
      <c r="AG724" s="1" t="s">
        <v>47</v>
      </c>
      <c r="AH724" s="1" t="s">
        <v>49</v>
      </c>
      <c r="AI724" s="1" t="s">
        <v>47</v>
      </c>
      <c r="AK724" s="1" t="s">
        <v>48</v>
      </c>
      <c r="AL724" s="1" t="s">
        <v>2382</v>
      </c>
    </row>
    <row r="725" spans="1:38">
      <c r="A725" s="1">
        <v>5138704</v>
      </c>
      <c r="B725" s="1" t="s">
        <v>2383</v>
      </c>
      <c r="C725" s="1" t="str">
        <f>"9781292023755"</f>
        <v>9781292023755</v>
      </c>
      <c r="D725" s="1" t="str">
        <f>"9781292036885"</f>
        <v>9781292036885</v>
      </c>
      <c r="E725" s="1" t="s">
        <v>52</v>
      </c>
      <c r="F725" s="1" t="s">
        <v>40</v>
      </c>
      <c r="G725" s="3">
        <v>41473</v>
      </c>
      <c r="H725" s="3">
        <v>1</v>
      </c>
      <c r="I725" s="1" t="s">
        <v>41</v>
      </c>
      <c r="J725" s="1">
        <v>3</v>
      </c>
      <c r="L725" s="1" t="s">
        <v>2384</v>
      </c>
      <c r="M725" s="1" t="s">
        <v>242</v>
      </c>
      <c r="O725" s="1">
        <v>515.70000000000005</v>
      </c>
      <c r="Q725" s="1" t="s">
        <v>46</v>
      </c>
      <c r="R725" s="1" t="s">
        <v>47</v>
      </c>
      <c r="S725" s="1" t="s">
        <v>47</v>
      </c>
      <c r="T725" s="1" t="s">
        <v>48</v>
      </c>
      <c r="U725" s="1" t="s">
        <v>47</v>
      </c>
      <c r="V725" s="1" t="s">
        <v>47</v>
      </c>
      <c r="W725" s="1" t="s">
        <v>47</v>
      </c>
      <c r="Z725" s="1">
        <v>0</v>
      </c>
      <c r="AB725" s="1" t="s">
        <v>47</v>
      </c>
      <c r="AD725" s="1">
        <v>527231</v>
      </c>
      <c r="AF725" s="1" t="s">
        <v>47</v>
      </c>
      <c r="AG725" s="1" t="s">
        <v>47</v>
      </c>
      <c r="AH725" s="1" t="s">
        <v>49</v>
      </c>
      <c r="AI725" s="1" t="s">
        <v>47</v>
      </c>
      <c r="AK725" s="1" t="s">
        <v>48</v>
      </c>
      <c r="AL725" s="1" t="s">
        <v>2385</v>
      </c>
    </row>
    <row r="726" spans="1:38">
      <c r="A726" s="1">
        <v>5138705</v>
      </c>
      <c r="B726" s="1" t="s">
        <v>2386</v>
      </c>
      <c r="C726" s="1" t="str">
        <f>"9781292024103"</f>
        <v>9781292024103</v>
      </c>
      <c r="D726" s="1" t="str">
        <f>"9781292037158"</f>
        <v>9781292037158</v>
      </c>
      <c r="E726" s="1" t="s">
        <v>52</v>
      </c>
      <c r="F726" s="1" t="s">
        <v>40</v>
      </c>
      <c r="G726" s="3">
        <v>41480</v>
      </c>
      <c r="H726" s="3">
        <v>1</v>
      </c>
      <c r="I726" s="1" t="s">
        <v>41</v>
      </c>
      <c r="J726" s="1">
        <v>2</v>
      </c>
      <c r="L726" s="1" t="s">
        <v>2387</v>
      </c>
      <c r="M726" s="1" t="s">
        <v>1633</v>
      </c>
      <c r="O726" s="1">
        <v>530.12</v>
      </c>
      <c r="Q726" s="1" t="s">
        <v>46</v>
      </c>
      <c r="R726" s="1" t="s">
        <v>47</v>
      </c>
      <c r="S726" s="1" t="s">
        <v>47</v>
      </c>
      <c r="T726" s="1" t="s">
        <v>48</v>
      </c>
      <c r="U726" s="1" t="s">
        <v>47</v>
      </c>
      <c r="V726" s="1" t="s">
        <v>47</v>
      </c>
      <c r="W726" s="1" t="s">
        <v>47</v>
      </c>
      <c r="Z726" s="1">
        <v>0</v>
      </c>
      <c r="AB726" s="1" t="s">
        <v>47</v>
      </c>
      <c r="AD726" s="1">
        <v>527346</v>
      </c>
      <c r="AF726" s="1" t="s">
        <v>47</v>
      </c>
      <c r="AG726" s="1" t="s">
        <v>47</v>
      </c>
      <c r="AH726" s="1" t="s">
        <v>49</v>
      </c>
      <c r="AI726" s="1" t="s">
        <v>47</v>
      </c>
      <c r="AK726" s="1" t="s">
        <v>48</v>
      </c>
      <c r="AL726" s="1" t="s">
        <v>2388</v>
      </c>
    </row>
    <row r="727" spans="1:38">
      <c r="A727" s="1">
        <v>5138706</v>
      </c>
      <c r="B727" s="1" t="s">
        <v>2389</v>
      </c>
      <c r="C727" s="1" t="str">
        <f>"9781292020686"</f>
        <v>9781292020686</v>
      </c>
      <c r="D727" s="1" t="str">
        <f>"9781292033945"</f>
        <v>9781292033945</v>
      </c>
      <c r="E727" s="1" t="s">
        <v>52</v>
      </c>
      <c r="F727" s="1" t="s">
        <v>40</v>
      </c>
      <c r="G727" s="3">
        <v>41513</v>
      </c>
      <c r="H727" s="3">
        <v>1</v>
      </c>
      <c r="I727" s="1" t="s">
        <v>41</v>
      </c>
      <c r="J727" s="1">
        <v>8</v>
      </c>
      <c r="L727" s="1" t="s">
        <v>2390</v>
      </c>
      <c r="Q727" s="1" t="s">
        <v>46</v>
      </c>
      <c r="R727" s="1" t="s">
        <v>47</v>
      </c>
      <c r="S727" s="1" t="s">
        <v>47</v>
      </c>
      <c r="T727" s="1" t="s">
        <v>48</v>
      </c>
      <c r="U727" s="1" t="s">
        <v>47</v>
      </c>
      <c r="V727" s="1" t="s">
        <v>47</v>
      </c>
      <c r="W727" s="1" t="s">
        <v>47</v>
      </c>
      <c r="Z727" s="1">
        <v>0</v>
      </c>
      <c r="AB727" s="1" t="s">
        <v>47</v>
      </c>
      <c r="AD727" s="1">
        <v>526943</v>
      </c>
      <c r="AF727" s="1" t="s">
        <v>47</v>
      </c>
      <c r="AG727" s="1" t="s">
        <v>47</v>
      </c>
      <c r="AH727" s="1" t="s">
        <v>49</v>
      </c>
      <c r="AI727" s="1" t="s">
        <v>47</v>
      </c>
      <c r="AK727" s="1" t="s">
        <v>48</v>
      </c>
      <c r="AL727" s="1" t="s">
        <v>2391</v>
      </c>
    </row>
    <row r="728" spans="1:38">
      <c r="A728" s="1">
        <v>5138712</v>
      </c>
      <c r="B728" s="1" t="s">
        <v>2392</v>
      </c>
      <c r="C728" s="1" t="str">
        <f>"9780132224376"</f>
        <v>9780132224376</v>
      </c>
      <c r="D728" s="1" t="str">
        <f>"9780273732440"</f>
        <v>9780273732440</v>
      </c>
      <c r="E728" s="1" t="s">
        <v>52</v>
      </c>
      <c r="F728" s="1" t="s">
        <v>157</v>
      </c>
      <c r="G728" s="3">
        <v>40211</v>
      </c>
      <c r="H728" s="3">
        <v>1</v>
      </c>
      <c r="I728" s="1" t="s">
        <v>41</v>
      </c>
      <c r="J728" s="1">
        <v>6</v>
      </c>
      <c r="L728" s="1" t="s">
        <v>2393</v>
      </c>
      <c r="M728" s="1" t="s">
        <v>2394</v>
      </c>
      <c r="N728" s="1" t="s">
        <v>2395</v>
      </c>
      <c r="O728" s="1">
        <v>621.43299999999999</v>
      </c>
      <c r="Q728" s="1" t="s">
        <v>46</v>
      </c>
      <c r="R728" s="1" t="s">
        <v>47</v>
      </c>
      <c r="S728" s="1" t="s">
        <v>47</v>
      </c>
      <c r="T728" s="1" t="s">
        <v>48</v>
      </c>
      <c r="U728" s="1" t="s">
        <v>47</v>
      </c>
      <c r="V728" s="1" t="s">
        <v>47</v>
      </c>
      <c r="W728" s="1" t="s">
        <v>47</v>
      </c>
      <c r="Z728" s="1">
        <v>0</v>
      </c>
      <c r="AB728" s="1" t="s">
        <v>47</v>
      </c>
      <c r="AD728" s="1">
        <v>235046</v>
      </c>
      <c r="AF728" s="1" t="s">
        <v>47</v>
      </c>
      <c r="AG728" s="1" t="s">
        <v>47</v>
      </c>
      <c r="AH728" s="1" t="s">
        <v>49</v>
      </c>
      <c r="AI728" s="1" t="s">
        <v>47</v>
      </c>
      <c r="AK728" s="1" t="s">
        <v>48</v>
      </c>
      <c r="AL728" s="1" t="s">
        <v>2396</v>
      </c>
    </row>
    <row r="729" spans="1:38">
      <c r="A729" s="1">
        <v>5138714</v>
      </c>
      <c r="B729" s="1" t="s">
        <v>2397</v>
      </c>
      <c r="C729" s="1" t="str">
        <f>"9780133526974"</f>
        <v>9780133526974</v>
      </c>
      <c r="D729" s="1" t="str">
        <f>"9780273735724"</f>
        <v>9780273735724</v>
      </c>
      <c r="E729" s="1" t="s">
        <v>52</v>
      </c>
      <c r="F729" s="1" t="s">
        <v>139</v>
      </c>
      <c r="G729" s="3">
        <v>40567</v>
      </c>
      <c r="H729" s="3">
        <v>1</v>
      </c>
      <c r="I729" s="1" t="s">
        <v>41</v>
      </c>
      <c r="J729" s="1">
        <v>1</v>
      </c>
      <c r="L729" s="1" t="s">
        <v>2398</v>
      </c>
      <c r="Q729" s="1" t="s">
        <v>46</v>
      </c>
      <c r="R729" s="1" t="s">
        <v>47</v>
      </c>
      <c r="S729" s="1" t="s">
        <v>47</v>
      </c>
      <c r="T729" s="1" t="s">
        <v>48</v>
      </c>
      <c r="U729" s="1" t="s">
        <v>47</v>
      </c>
      <c r="V729" s="1" t="s">
        <v>47</v>
      </c>
      <c r="W729" s="1" t="s">
        <v>47</v>
      </c>
      <c r="Z729" s="1">
        <v>0</v>
      </c>
      <c r="AB729" s="1" t="s">
        <v>47</v>
      </c>
      <c r="AD729" s="1">
        <v>298364</v>
      </c>
      <c r="AF729" s="1" t="s">
        <v>47</v>
      </c>
      <c r="AG729" s="1" t="s">
        <v>47</v>
      </c>
      <c r="AH729" s="1" t="s">
        <v>49</v>
      </c>
      <c r="AI729" s="1" t="s">
        <v>47</v>
      </c>
      <c r="AK729" s="1" t="s">
        <v>48</v>
      </c>
      <c r="AL729" s="1" t="s">
        <v>2399</v>
      </c>
    </row>
    <row r="730" spans="1:38">
      <c r="A730" s="1">
        <v>5138715</v>
      </c>
      <c r="B730" s="1" t="s">
        <v>2400</v>
      </c>
      <c r="C730" s="1" t="str">
        <f>"9781292023588"</f>
        <v>9781292023588</v>
      </c>
      <c r="D730" s="1" t="str">
        <f>"9781292036748"</f>
        <v>9781292036748</v>
      </c>
      <c r="E730" s="1" t="s">
        <v>52</v>
      </c>
      <c r="F730" s="1" t="s">
        <v>40</v>
      </c>
      <c r="G730" s="3">
        <v>41481</v>
      </c>
      <c r="H730" s="3">
        <v>1</v>
      </c>
      <c r="I730" s="1" t="s">
        <v>41</v>
      </c>
      <c r="J730" s="1">
        <v>2</v>
      </c>
      <c r="L730" s="1" t="s">
        <v>2401</v>
      </c>
      <c r="M730" s="1" t="s">
        <v>242</v>
      </c>
      <c r="O730" s="1">
        <v>518</v>
      </c>
      <c r="Q730" s="1" t="s">
        <v>46</v>
      </c>
      <c r="R730" s="1" t="s">
        <v>47</v>
      </c>
      <c r="S730" s="1" t="s">
        <v>47</v>
      </c>
      <c r="T730" s="1" t="s">
        <v>48</v>
      </c>
      <c r="U730" s="1" t="s">
        <v>47</v>
      </c>
      <c r="V730" s="1" t="s">
        <v>47</v>
      </c>
      <c r="W730" s="1" t="s">
        <v>47</v>
      </c>
      <c r="Z730" s="1">
        <v>0</v>
      </c>
      <c r="AB730" s="1" t="s">
        <v>47</v>
      </c>
      <c r="AD730" s="1">
        <v>527282</v>
      </c>
      <c r="AF730" s="1" t="s">
        <v>47</v>
      </c>
      <c r="AG730" s="1" t="s">
        <v>47</v>
      </c>
      <c r="AH730" s="1" t="s">
        <v>49</v>
      </c>
      <c r="AI730" s="1" t="s">
        <v>47</v>
      </c>
      <c r="AK730" s="1" t="s">
        <v>48</v>
      </c>
      <c r="AL730" s="1" t="s">
        <v>2402</v>
      </c>
    </row>
    <row r="731" spans="1:38">
      <c r="A731" s="1">
        <v>5138730</v>
      </c>
      <c r="B731" s="1" t="s">
        <v>2403</v>
      </c>
      <c r="C731" s="1" t="str">
        <f>"9781292041469"</f>
        <v>9781292041469</v>
      </c>
      <c r="D731" s="1" t="str">
        <f>"9781292055213"</f>
        <v>9781292055213</v>
      </c>
      <c r="E731" s="1" t="s">
        <v>52</v>
      </c>
      <c r="F731" s="1" t="s">
        <v>40</v>
      </c>
      <c r="G731" s="3">
        <v>41579</v>
      </c>
      <c r="H731" s="3">
        <v>1</v>
      </c>
      <c r="I731" s="1" t="s">
        <v>41</v>
      </c>
      <c r="J731" s="1">
        <v>12</v>
      </c>
      <c r="L731" s="1" t="s">
        <v>2404</v>
      </c>
      <c r="M731" s="1" t="s">
        <v>372</v>
      </c>
      <c r="O731" s="1">
        <v>364.97300000000001</v>
      </c>
      <c r="Q731" s="1" t="s">
        <v>46</v>
      </c>
      <c r="R731" s="1" t="s">
        <v>47</v>
      </c>
      <c r="S731" s="1" t="s">
        <v>47</v>
      </c>
      <c r="T731" s="1" t="s">
        <v>48</v>
      </c>
      <c r="U731" s="1" t="s">
        <v>47</v>
      </c>
      <c r="V731" s="1" t="s">
        <v>47</v>
      </c>
      <c r="W731" s="1" t="s">
        <v>47</v>
      </c>
      <c r="Z731" s="1">
        <v>0</v>
      </c>
      <c r="AB731" s="1" t="s">
        <v>47</v>
      </c>
      <c r="AD731" s="1">
        <v>543651</v>
      </c>
      <c r="AF731" s="1" t="s">
        <v>47</v>
      </c>
      <c r="AG731" s="1" t="s">
        <v>47</v>
      </c>
      <c r="AH731" s="1" t="s">
        <v>49</v>
      </c>
      <c r="AI731" s="1" t="s">
        <v>47</v>
      </c>
      <c r="AK731" s="1" t="s">
        <v>48</v>
      </c>
      <c r="AL731" s="1" t="s">
        <v>2405</v>
      </c>
    </row>
    <row r="732" spans="1:38">
      <c r="A732" s="1">
        <v>5138736</v>
      </c>
      <c r="B732" s="1" t="s">
        <v>2406</v>
      </c>
      <c r="C732" s="1" t="str">
        <f>"9781292040820"</f>
        <v>9781292040820</v>
      </c>
      <c r="D732" s="1" t="str">
        <f>"9781292055237"</f>
        <v>9781292055237</v>
      </c>
      <c r="E732" s="1" t="s">
        <v>52</v>
      </c>
      <c r="F732" s="1" t="s">
        <v>40</v>
      </c>
      <c r="G732" s="3">
        <v>41579</v>
      </c>
      <c r="H732" s="3">
        <v>1</v>
      </c>
      <c r="I732" s="1" t="s">
        <v>41</v>
      </c>
      <c r="J732" s="1">
        <v>7</v>
      </c>
      <c r="L732" s="1" t="s">
        <v>2407</v>
      </c>
      <c r="M732" s="1" t="s">
        <v>43</v>
      </c>
      <c r="O732" s="1">
        <v>624.16999999999996</v>
      </c>
      <c r="Q732" s="1" t="s">
        <v>46</v>
      </c>
      <c r="R732" s="1" t="s">
        <v>47</v>
      </c>
      <c r="S732" s="1" t="s">
        <v>47</v>
      </c>
      <c r="T732" s="1" t="s">
        <v>48</v>
      </c>
      <c r="U732" s="1" t="s">
        <v>47</v>
      </c>
      <c r="V732" s="1" t="s">
        <v>47</v>
      </c>
      <c r="W732" s="1" t="s">
        <v>47</v>
      </c>
      <c r="Z732" s="1">
        <v>0</v>
      </c>
      <c r="AB732" s="1" t="s">
        <v>47</v>
      </c>
      <c r="AD732" s="1">
        <v>543580</v>
      </c>
      <c r="AF732" s="1" t="s">
        <v>47</v>
      </c>
      <c r="AG732" s="1" t="s">
        <v>47</v>
      </c>
      <c r="AH732" s="1" t="s">
        <v>49</v>
      </c>
      <c r="AI732" s="1" t="s">
        <v>47</v>
      </c>
      <c r="AK732" s="1" t="s">
        <v>48</v>
      </c>
      <c r="AL732" s="1" t="s">
        <v>2408</v>
      </c>
    </row>
    <row r="733" spans="1:38">
      <c r="A733" s="1">
        <v>5138738</v>
      </c>
      <c r="B733" s="1" t="s">
        <v>2409</v>
      </c>
      <c r="C733" s="1" t="str">
        <f>"9781292020587"</f>
        <v>9781292020587</v>
      </c>
      <c r="D733" s="1" t="str">
        <f>"9781292033860"</f>
        <v>9781292033860</v>
      </c>
      <c r="E733" s="1" t="s">
        <v>52</v>
      </c>
      <c r="F733" s="1" t="s">
        <v>40</v>
      </c>
      <c r="G733" s="3">
        <v>41466</v>
      </c>
      <c r="H733" s="3">
        <v>1</v>
      </c>
      <c r="I733" s="1" t="s">
        <v>41</v>
      </c>
      <c r="J733" s="1">
        <v>6</v>
      </c>
      <c r="L733" s="1" t="s">
        <v>2410</v>
      </c>
      <c r="M733" s="1" t="s">
        <v>54</v>
      </c>
      <c r="O733" s="1">
        <v>370.15230000000003</v>
      </c>
      <c r="Q733" s="1" t="s">
        <v>46</v>
      </c>
      <c r="R733" s="1" t="s">
        <v>47</v>
      </c>
      <c r="S733" s="1" t="s">
        <v>47</v>
      </c>
      <c r="T733" s="1" t="s">
        <v>48</v>
      </c>
      <c r="U733" s="1" t="s">
        <v>47</v>
      </c>
      <c r="V733" s="1" t="s">
        <v>47</v>
      </c>
      <c r="W733" s="1" t="s">
        <v>47</v>
      </c>
      <c r="Z733" s="1">
        <v>0</v>
      </c>
      <c r="AB733" s="1" t="s">
        <v>47</v>
      </c>
      <c r="AD733" s="1">
        <v>526949</v>
      </c>
      <c r="AF733" s="1" t="s">
        <v>47</v>
      </c>
      <c r="AG733" s="1" t="s">
        <v>47</v>
      </c>
      <c r="AH733" s="1" t="s">
        <v>49</v>
      </c>
      <c r="AI733" s="1" t="s">
        <v>47</v>
      </c>
      <c r="AK733" s="1" t="s">
        <v>48</v>
      </c>
      <c r="AL733" s="1" t="s">
        <v>2411</v>
      </c>
    </row>
    <row r="734" spans="1:38">
      <c r="A734" s="1">
        <v>5138739</v>
      </c>
      <c r="B734" s="1" t="s">
        <v>2412</v>
      </c>
      <c r="C734" s="1" t="str">
        <f>"9781292041476"</f>
        <v>9781292041476</v>
      </c>
      <c r="D734" s="1" t="str">
        <f>"9781292055251"</f>
        <v>9781292055251</v>
      </c>
      <c r="E734" s="1" t="s">
        <v>52</v>
      </c>
      <c r="F734" s="1" t="s">
        <v>40</v>
      </c>
      <c r="G734" s="3">
        <v>41579</v>
      </c>
      <c r="H734" s="3">
        <v>1</v>
      </c>
      <c r="I734" s="1" t="s">
        <v>41</v>
      </c>
      <c r="J734" s="1">
        <v>4</v>
      </c>
      <c r="L734" s="1" t="s">
        <v>2413</v>
      </c>
      <c r="M734" s="1" t="s">
        <v>54</v>
      </c>
      <c r="O734" s="1">
        <v>370.154</v>
      </c>
      <c r="Q734" s="1" t="s">
        <v>46</v>
      </c>
      <c r="R734" s="1" t="s">
        <v>47</v>
      </c>
      <c r="S734" s="1" t="s">
        <v>47</v>
      </c>
      <c r="T734" s="1" t="s">
        <v>48</v>
      </c>
      <c r="U734" s="1" t="s">
        <v>47</v>
      </c>
      <c r="V734" s="1" t="s">
        <v>47</v>
      </c>
      <c r="W734" s="1" t="s">
        <v>47</v>
      </c>
      <c r="Z734" s="1">
        <v>0</v>
      </c>
      <c r="AB734" s="1" t="s">
        <v>47</v>
      </c>
      <c r="AD734" s="1">
        <v>543659</v>
      </c>
      <c r="AF734" s="1" t="s">
        <v>47</v>
      </c>
      <c r="AG734" s="1" t="s">
        <v>47</v>
      </c>
      <c r="AH734" s="1" t="s">
        <v>49</v>
      </c>
      <c r="AI734" s="1" t="s">
        <v>47</v>
      </c>
      <c r="AK734" s="1" t="s">
        <v>48</v>
      </c>
      <c r="AL734" s="1" t="s">
        <v>2414</v>
      </c>
    </row>
    <row r="735" spans="1:38">
      <c r="A735" s="1">
        <v>5138741</v>
      </c>
      <c r="B735" s="1" t="s">
        <v>2415</v>
      </c>
      <c r="C735" s="1" t="str">
        <f>"9781292041483"</f>
        <v>9781292041483</v>
      </c>
      <c r="D735" s="1" t="str">
        <f>"9781292055268"</f>
        <v>9781292055268</v>
      </c>
      <c r="E735" s="1" t="s">
        <v>52</v>
      </c>
      <c r="F735" s="1" t="s">
        <v>40</v>
      </c>
      <c r="G735" s="3">
        <v>40654</v>
      </c>
      <c r="H735" s="3">
        <v>1</v>
      </c>
      <c r="I735" s="1" t="s">
        <v>41</v>
      </c>
      <c r="J735" s="1">
        <v>1</v>
      </c>
      <c r="L735" s="1" t="s">
        <v>2416</v>
      </c>
      <c r="M735" s="1" t="s">
        <v>54</v>
      </c>
      <c r="O735" s="1">
        <v>371.10239999999999</v>
      </c>
      <c r="Q735" s="1" t="s">
        <v>46</v>
      </c>
      <c r="R735" s="1" t="s">
        <v>47</v>
      </c>
      <c r="S735" s="1" t="s">
        <v>47</v>
      </c>
      <c r="T735" s="1" t="s">
        <v>48</v>
      </c>
      <c r="U735" s="1" t="s">
        <v>47</v>
      </c>
      <c r="V735" s="1" t="s">
        <v>47</v>
      </c>
      <c r="W735" s="1" t="s">
        <v>47</v>
      </c>
      <c r="Z735" s="1">
        <v>0</v>
      </c>
      <c r="AB735" s="1" t="s">
        <v>47</v>
      </c>
      <c r="AD735" s="1">
        <v>543360</v>
      </c>
      <c r="AF735" s="1" t="s">
        <v>47</v>
      </c>
      <c r="AG735" s="1" t="s">
        <v>47</v>
      </c>
      <c r="AH735" s="1" t="s">
        <v>49</v>
      </c>
      <c r="AI735" s="1" t="s">
        <v>47</v>
      </c>
      <c r="AK735" s="1" t="s">
        <v>48</v>
      </c>
      <c r="AL735" s="1" t="s">
        <v>2417</v>
      </c>
    </row>
    <row r="736" spans="1:38">
      <c r="A736" s="1">
        <v>5138743</v>
      </c>
      <c r="B736" s="1" t="s">
        <v>2418</v>
      </c>
      <c r="C736" s="1" t="str">
        <f>"9781292027555"</f>
        <v>9781292027555</v>
      </c>
      <c r="D736" s="1" t="str">
        <f>"9781292055282"</f>
        <v>9781292055282</v>
      </c>
      <c r="E736" s="1" t="s">
        <v>52</v>
      </c>
      <c r="F736" s="1" t="s">
        <v>40</v>
      </c>
      <c r="G736" s="3">
        <v>41579</v>
      </c>
      <c r="H736" s="3">
        <v>1</v>
      </c>
      <c r="I736" s="1" t="s">
        <v>41</v>
      </c>
      <c r="J736" s="1">
        <v>8</v>
      </c>
      <c r="L736" s="1" t="s">
        <v>2419</v>
      </c>
      <c r="M736" s="1" t="s">
        <v>372</v>
      </c>
      <c r="O736" s="1">
        <v>306</v>
      </c>
      <c r="Q736" s="1" t="s">
        <v>46</v>
      </c>
      <c r="R736" s="1" t="s">
        <v>47</v>
      </c>
      <c r="S736" s="1" t="s">
        <v>47</v>
      </c>
      <c r="T736" s="1" t="s">
        <v>48</v>
      </c>
      <c r="U736" s="1" t="s">
        <v>47</v>
      </c>
      <c r="V736" s="1" t="s">
        <v>47</v>
      </c>
      <c r="W736" s="1" t="s">
        <v>47</v>
      </c>
      <c r="Z736" s="1">
        <v>0</v>
      </c>
      <c r="AB736" s="1" t="s">
        <v>47</v>
      </c>
      <c r="AD736" s="1">
        <v>543508</v>
      </c>
      <c r="AF736" s="1" t="s">
        <v>47</v>
      </c>
      <c r="AG736" s="1" t="s">
        <v>47</v>
      </c>
      <c r="AH736" s="1" t="s">
        <v>49</v>
      </c>
      <c r="AI736" s="1" t="s">
        <v>47</v>
      </c>
      <c r="AK736" s="1" t="s">
        <v>48</v>
      </c>
      <c r="AL736" s="1" t="s">
        <v>2420</v>
      </c>
    </row>
    <row r="737" spans="1:38">
      <c r="A737" s="1">
        <v>5138747</v>
      </c>
      <c r="B737" s="1" t="s">
        <v>2421</v>
      </c>
      <c r="C737" s="1" t="str">
        <f>"9781292040752"</f>
        <v>9781292040752</v>
      </c>
      <c r="D737" s="1" t="str">
        <f>"9781292055299"</f>
        <v>9781292055299</v>
      </c>
      <c r="E737" s="1" t="s">
        <v>52</v>
      </c>
      <c r="F737" s="1" t="s">
        <v>40</v>
      </c>
      <c r="G737" s="3">
        <v>41579</v>
      </c>
      <c r="H737" s="3">
        <v>1</v>
      </c>
      <c r="I737" s="1" t="s">
        <v>41</v>
      </c>
      <c r="J737" s="1">
        <v>2</v>
      </c>
      <c r="L737" s="1" t="s">
        <v>2422</v>
      </c>
      <c r="M737" s="1" t="s">
        <v>372</v>
      </c>
      <c r="O737" s="1">
        <v>306.85000000000002</v>
      </c>
      <c r="Q737" s="1" t="s">
        <v>46</v>
      </c>
      <c r="R737" s="1" t="s">
        <v>47</v>
      </c>
      <c r="S737" s="1" t="s">
        <v>47</v>
      </c>
      <c r="T737" s="1" t="s">
        <v>48</v>
      </c>
      <c r="U737" s="1" t="s">
        <v>47</v>
      </c>
      <c r="V737" s="1" t="s">
        <v>47</v>
      </c>
      <c r="W737" s="1" t="s">
        <v>47</v>
      </c>
      <c r="Z737" s="1">
        <v>0</v>
      </c>
      <c r="AB737" s="1" t="s">
        <v>47</v>
      </c>
      <c r="AD737" s="1">
        <v>543391</v>
      </c>
      <c r="AF737" s="1" t="s">
        <v>47</v>
      </c>
      <c r="AG737" s="1" t="s">
        <v>47</v>
      </c>
      <c r="AH737" s="1" t="s">
        <v>49</v>
      </c>
      <c r="AI737" s="1" t="s">
        <v>47</v>
      </c>
      <c r="AK737" s="1" t="s">
        <v>48</v>
      </c>
      <c r="AL737" s="1" t="s">
        <v>2423</v>
      </c>
    </row>
    <row r="738" spans="1:38">
      <c r="A738" s="1">
        <v>5138749</v>
      </c>
      <c r="B738" s="1" t="s">
        <v>2424</v>
      </c>
      <c r="C738" s="1" t="str">
        <f>""</f>
        <v/>
      </c>
      <c r="D738" s="1" t="str">
        <f>"9780273742562"</f>
        <v>9780273742562</v>
      </c>
      <c r="E738" s="1" t="s">
        <v>52</v>
      </c>
      <c r="F738" s="1" t="s">
        <v>157</v>
      </c>
      <c r="G738" s="3">
        <v>40630</v>
      </c>
      <c r="H738" s="3">
        <v>1</v>
      </c>
      <c r="I738" s="1" t="s">
        <v>41</v>
      </c>
      <c r="J738" s="1">
        <v>1</v>
      </c>
      <c r="L738" s="1" t="s">
        <v>2425</v>
      </c>
      <c r="Q738" s="1" t="s">
        <v>46</v>
      </c>
      <c r="R738" s="1" t="s">
        <v>47</v>
      </c>
      <c r="S738" s="1" t="s">
        <v>47</v>
      </c>
      <c r="T738" s="1" t="s">
        <v>48</v>
      </c>
      <c r="U738" s="1" t="s">
        <v>47</v>
      </c>
      <c r="V738" s="1" t="s">
        <v>47</v>
      </c>
      <c r="W738" s="1" t="s">
        <v>47</v>
      </c>
      <c r="Z738" s="1">
        <v>0</v>
      </c>
      <c r="AB738" s="1" t="s">
        <v>47</v>
      </c>
      <c r="AD738" s="1">
        <v>305617</v>
      </c>
      <c r="AF738" s="1" t="s">
        <v>47</v>
      </c>
      <c r="AG738" s="1" t="s">
        <v>47</v>
      </c>
      <c r="AH738" s="1" t="s">
        <v>49</v>
      </c>
      <c r="AI738" s="1" t="s">
        <v>47</v>
      </c>
      <c r="AK738" s="1" t="s">
        <v>48</v>
      </c>
      <c r="AL738" s="1" t="s">
        <v>2426</v>
      </c>
    </row>
    <row r="739" spans="1:38">
      <c r="A739" s="1">
        <v>5138753</v>
      </c>
      <c r="B739" s="1" t="s">
        <v>2427</v>
      </c>
      <c r="C739" s="1" t="str">
        <f>"9781292040769"</f>
        <v>9781292040769</v>
      </c>
      <c r="D739" s="1" t="str">
        <f>"9781292055312"</f>
        <v>9781292055312</v>
      </c>
      <c r="E739" s="1" t="s">
        <v>52</v>
      </c>
      <c r="F739" s="1" t="s">
        <v>40</v>
      </c>
      <c r="G739" s="3">
        <v>41579</v>
      </c>
      <c r="H739" s="3">
        <v>1</v>
      </c>
      <c r="I739" s="1" t="s">
        <v>41</v>
      </c>
      <c r="J739" s="1">
        <v>3</v>
      </c>
      <c r="L739" s="1" t="s">
        <v>2428</v>
      </c>
      <c r="M739" s="1" t="s">
        <v>372</v>
      </c>
      <c r="O739" s="1">
        <v>306.09050999999999</v>
      </c>
      <c r="Q739" s="1" t="s">
        <v>46</v>
      </c>
      <c r="R739" s="1" t="s">
        <v>47</v>
      </c>
      <c r="S739" s="1" t="s">
        <v>47</v>
      </c>
      <c r="T739" s="1" t="s">
        <v>48</v>
      </c>
      <c r="U739" s="1" t="s">
        <v>47</v>
      </c>
      <c r="V739" s="1" t="s">
        <v>47</v>
      </c>
      <c r="W739" s="1" t="s">
        <v>47</v>
      </c>
      <c r="Z739" s="1">
        <v>0</v>
      </c>
      <c r="AB739" s="1" t="s">
        <v>47</v>
      </c>
      <c r="AD739" s="1">
        <v>543411</v>
      </c>
      <c r="AF739" s="1" t="s">
        <v>47</v>
      </c>
      <c r="AG739" s="1" t="s">
        <v>47</v>
      </c>
      <c r="AH739" s="1" t="s">
        <v>49</v>
      </c>
      <c r="AI739" s="1" t="s">
        <v>47</v>
      </c>
      <c r="AK739" s="1" t="s">
        <v>48</v>
      </c>
      <c r="AL739" s="1" t="s">
        <v>2429</v>
      </c>
    </row>
    <row r="740" spans="1:38">
      <c r="A740" s="1">
        <v>5138757</v>
      </c>
      <c r="B740" s="1" t="s">
        <v>2430</v>
      </c>
      <c r="C740" s="1" t="str">
        <f>"9781292040325"</f>
        <v>9781292040325</v>
      </c>
      <c r="D740" s="1" t="str">
        <f>"9781292055343"</f>
        <v>9781292055343</v>
      </c>
      <c r="E740" s="1" t="s">
        <v>52</v>
      </c>
      <c r="F740" s="1" t="s">
        <v>40</v>
      </c>
      <c r="G740" s="3">
        <v>41579</v>
      </c>
      <c r="H740" s="3">
        <v>1</v>
      </c>
      <c r="I740" s="1" t="s">
        <v>41</v>
      </c>
      <c r="J740" s="1">
        <v>1</v>
      </c>
      <c r="L740" s="1" t="s">
        <v>2431</v>
      </c>
      <c r="M740" s="1" t="s">
        <v>59</v>
      </c>
      <c r="O740" s="1">
        <v>658.51400000000001</v>
      </c>
      <c r="Q740" s="1" t="s">
        <v>46</v>
      </c>
      <c r="R740" s="1" t="s">
        <v>47</v>
      </c>
      <c r="S740" s="1" t="s">
        <v>47</v>
      </c>
      <c r="T740" s="1" t="s">
        <v>48</v>
      </c>
      <c r="U740" s="1" t="s">
        <v>47</v>
      </c>
      <c r="V740" s="1" t="s">
        <v>47</v>
      </c>
      <c r="W740" s="1" t="s">
        <v>47</v>
      </c>
      <c r="Z740" s="1">
        <v>0</v>
      </c>
      <c r="AB740" s="1" t="s">
        <v>47</v>
      </c>
      <c r="AD740" s="1">
        <v>543471</v>
      </c>
      <c r="AF740" s="1" t="s">
        <v>47</v>
      </c>
      <c r="AG740" s="1" t="s">
        <v>47</v>
      </c>
      <c r="AH740" s="1" t="s">
        <v>49</v>
      </c>
      <c r="AI740" s="1" t="s">
        <v>47</v>
      </c>
      <c r="AK740" s="1" t="s">
        <v>48</v>
      </c>
      <c r="AL740" s="1" t="s">
        <v>2432</v>
      </c>
    </row>
    <row r="741" spans="1:38">
      <c r="A741" s="1">
        <v>5138762</v>
      </c>
      <c r="B741" s="1" t="s">
        <v>2433</v>
      </c>
      <c r="C741" s="1" t="str">
        <f>"9781292041841"</f>
        <v>9781292041841</v>
      </c>
      <c r="D741" s="1" t="str">
        <f>"9781292055350"</f>
        <v>9781292055350</v>
      </c>
      <c r="E741" s="1" t="s">
        <v>52</v>
      </c>
      <c r="F741" s="1" t="s">
        <v>40</v>
      </c>
      <c r="G741" s="3">
        <v>41579</v>
      </c>
      <c r="H741" s="3">
        <v>1</v>
      </c>
      <c r="I741" s="1" t="s">
        <v>41</v>
      </c>
      <c r="J741" s="1">
        <v>10</v>
      </c>
      <c r="L741" s="1" t="s">
        <v>2434</v>
      </c>
      <c r="M741" s="1" t="s">
        <v>54</v>
      </c>
      <c r="O741" s="1">
        <v>371.10239999999999</v>
      </c>
      <c r="Q741" s="1" t="s">
        <v>46</v>
      </c>
      <c r="R741" s="1" t="s">
        <v>47</v>
      </c>
      <c r="S741" s="1" t="s">
        <v>47</v>
      </c>
      <c r="T741" s="1" t="s">
        <v>48</v>
      </c>
      <c r="U741" s="1" t="s">
        <v>47</v>
      </c>
      <c r="V741" s="1" t="s">
        <v>47</v>
      </c>
      <c r="W741" s="1" t="s">
        <v>47</v>
      </c>
      <c r="Z741" s="1">
        <v>0</v>
      </c>
      <c r="AB741" s="1" t="s">
        <v>47</v>
      </c>
      <c r="AD741" s="1">
        <v>543430</v>
      </c>
      <c r="AF741" s="1" t="s">
        <v>47</v>
      </c>
      <c r="AG741" s="1" t="s">
        <v>47</v>
      </c>
      <c r="AH741" s="1" t="s">
        <v>49</v>
      </c>
      <c r="AI741" s="1" t="s">
        <v>47</v>
      </c>
      <c r="AK741" s="1" t="s">
        <v>48</v>
      </c>
      <c r="AL741" s="1" t="s">
        <v>2435</v>
      </c>
    </row>
    <row r="742" spans="1:38">
      <c r="A742" s="1">
        <v>5138766</v>
      </c>
      <c r="B742" s="1" t="s">
        <v>2436</v>
      </c>
      <c r="C742" s="1" t="str">
        <f>"9781292025063"</f>
        <v>9781292025063</v>
      </c>
      <c r="D742" s="1" t="str">
        <f>"9781292037684"</f>
        <v>9781292037684</v>
      </c>
      <c r="E742" s="1" t="s">
        <v>52</v>
      </c>
      <c r="F742" s="1" t="s">
        <v>40</v>
      </c>
      <c r="G742" s="3">
        <v>41487</v>
      </c>
      <c r="H742" s="3">
        <v>1</v>
      </c>
      <c r="I742" s="1" t="s">
        <v>41</v>
      </c>
      <c r="J742" s="1">
        <v>8</v>
      </c>
      <c r="L742" s="1" t="s">
        <v>2437</v>
      </c>
      <c r="M742" s="1" t="s">
        <v>59</v>
      </c>
      <c r="O742" s="1">
        <v>658.45</v>
      </c>
      <c r="Q742" s="1" t="s">
        <v>46</v>
      </c>
      <c r="R742" s="1" t="s">
        <v>47</v>
      </c>
      <c r="S742" s="1" t="s">
        <v>47</v>
      </c>
      <c r="T742" s="1" t="s">
        <v>48</v>
      </c>
      <c r="U742" s="1" t="s">
        <v>47</v>
      </c>
      <c r="V742" s="1" t="s">
        <v>47</v>
      </c>
      <c r="W742" s="1" t="s">
        <v>47</v>
      </c>
      <c r="Z742" s="1">
        <v>0</v>
      </c>
      <c r="AB742" s="1" t="s">
        <v>47</v>
      </c>
      <c r="AD742" s="1">
        <v>527063</v>
      </c>
      <c r="AF742" s="1" t="s">
        <v>47</v>
      </c>
      <c r="AG742" s="1" t="s">
        <v>47</v>
      </c>
      <c r="AH742" s="1" t="s">
        <v>49</v>
      </c>
      <c r="AI742" s="1" t="s">
        <v>47</v>
      </c>
      <c r="AK742" s="1" t="s">
        <v>48</v>
      </c>
      <c r="AL742" s="1" t="s">
        <v>2438</v>
      </c>
    </row>
    <row r="743" spans="1:38">
      <c r="A743" s="1">
        <v>5138769</v>
      </c>
      <c r="B743" s="1" t="s">
        <v>2439</v>
      </c>
      <c r="C743" s="1" t="str">
        <f>"9781292039404"</f>
        <v>9781292039404</v>
      </c>
      <c r="D743" s="1" t="str">
        <f>"9781292055404"</f>
        <v>9781292055404</v>
      </c>
      <c r="E743" s="1" t="s">
        <v>52</v>
      </c>
      <c r="F743" s="1" t="s">
        <v>40</v>
      </c>
      <c r="G743" s="3">
        <v>41579</v>
      </c>
      <c r="H743" s="3">
        <v>1</v>
      </c>
      <c r="I743" s="1" t="s">
        <v>41</v>
      </c>
      <c r="J743" s="1">
        <v>2</v>
      </c>
      <c r="L743" s="1" t="s">
        <v>2440</v>
      </c>
      <c r="M743" s="1" t="s">
        <v>1670</v>
      </c>
      <c r="O743" s="1">
        <v>648.404</v>
      </c>
      <c r="Q743" s="1" t="s">
        <v>46</v>
      </c>
      <c r="R743" s="1" t="s">
        <v>47</v>
      </c>
      <c r="S743" s="1" t="s">
        <v>47</v>
      </c>
      <c r="T743" s="1" t="s">
        <v>48</v>
      </c>
      <c r="U743" s="1" t="s">
        <v>47</v>
      </c>
      <c r="V743" s="1" t="s">
        <v>47</v>
      </c>
      <c r="W743" s="1" t="s">
        <v>47</v>
      </c>
      <c r="Z743" s="1">
        <v>0</v>
      </c>
      <c r="AB743" s="1" t="s">
        <v>47</v>
      </c>
      <c r="AD743" s="1">
        <v>543493</v>
      </c>
      <c r="AF743" s="1" t="s">
        <v>47</v>
      </c>
      <c r="AG743" s="1" t="s">
        <v>47</v>
      </c>
      <c r="AH743" s="1" t="s">
        <v>49</v>
      </c>
      <c r="AI743" s="1" t="s">
        <v>47</v>
      </c>
      <c r="AK743" s="1" t="s">
        <v>48</v>
      </c>
      <c r="AL743" s="1" t="s">
        <v>2441</v>
      </c>
    </row>
    <row r="744" spans="1:38">
      <c r="A744" s="1">
        <v>5138770</v>
      </c>
      <c r="B744" s="1" t="s">
        <v>2442</v>
      </c>
      <c r="C744" s="1" t="str">
        <f>"9781292027098"</f>
        <v>9781292027098</v>
      </c>
      <c r="D744" s="1" t="str">
        <f>"9781292055411"</f>
        <v>9781292055411</v>
      </c>
      <c r="E744" s="1" t="s">
        <v>52</v>
      </c>
      <c r="F744" s="1" t="s">
        <v>40</v>
      </c>
      <c r="G744" s="3">
        <v>41579</v>
      </c>
      <c r="H744" s="3">
        <v>1</v>
      </c>
      <c r="I744" s="1" t="s">
        <v>41</v>
      </c>
      <c r="J744" s="1">
        <v>4</v>
      </c>
      <c r="L744" s="1" t="s">
        <v>2443</v>
      </c>
      <c r="Q744" s="1" t="s">
        <v>46</v>
      </c>
      <c r="R744" s="1" t="s">
        <v>47</v>
      </c>
      <c r="S744" s="1" t="s">
        <v>47</v>
      </c>
      <c r="T744" s="1" t="s">
        <v>48</v>
      </c>
      <c r="U744" s="1" t="s">
        <v>47</v>
      </c>
      <c r="V744" s="1" t="s">
        <v>47</v>
      </c>
      <c r="W744" s="1" t="s">
        <v>47</v>
      </c>
      <c r="Z744" s="1">
        <v>0</v>
      </c>
      <c r="AB744" s="1" t="s">
        <v>47</v>
      </c>
      <c r="AD744" s="1">
        <v>543468</v>
      </c>
      <c r="AF744" s="1" t="s">
        <v>47</v>
      </c>
      <c r="AG744" s="1" t="s">
        <v>47</v>
      </c>
      <c r="AH744" s="1" t="s">
        <v>49</v>
      </c>
      <c r="AI744" s="1" t="s">
        <v>47</v>
      </c>
      <c r="AK744" s="1" t="s">
        <v>48</v>
      </c>
      <c r="AL744" s="1" t="s">
        <v>2444</v>
      </c>
    </row>
    <row r="745" spans="1:38">
      <c r="A745" s="1">
        <v>5138774</v>
      </c>
      <c r="B745" s="1" t="s">
        <v>2445</v>
      </c>
      <c r="C745" s="1" t="str">
        <f>"9781292026992"</f>
        <v>9781292026992</v>
      </c>
      <c r="D745" s="1" t="str">
        <f>"9781292055428"</f>
        <v>9781292055428</v>
      </c>
      <c r="E745" s="1" t="s">
        <v>52</v>
      </c>
      <c r="F745" s="1" t="s">
        <v>40</v>
      </c>
      <c r="G745" s="3">
        <v>41579</v>
      </c>
      <c r="H745" s="3">
        <v>1</v>
      </c>
      <c r="I745" s="1" t="s">
        <v>41</v>
      </c>
      <c r="J745" s="1">
        <v>4</v>
      </c>
      <c r="L745" s="1" t="s">
        <v>2446</v>
      </c>
      <c r="M745" s="1" t="s">
        <v>54</v>
      </c>
      <c r="O745" s="1">
        <v>378.19809729999997</v>
      </c>
      <c r="Q745" s="1" t="s">
        <v>46</v>
      </c>
      <c r="R745" s="1" t="s">
        <v>47</v>
      </c>
      <c r="S745" s="1" t="s">
        <v>47</v>
      </c>
      <c r="T745" s="1" t="s">
        <v>48</v>
      </c>
      <c r="U745" s="1" t="s">
        <v>47</v>
      </c>
      <c r="V745" s="1" t="s">
        <v>47</v>
      </c>
      <c r="W745" s="1" t="s">
        <v>47</v>
      </c>
      <c r="Z745" s="1">
        <v>0</v>
      </c>
      <c r="AB745" s="1" t="s">
        <v>47</v>
      </c>
      <c r="AD745" s="1">
        <v>543624</v>
      </c>
      <c r="AF745" s="1" t="s">
        <v>47</v>
      </c>
      <c r="AG745" s="1" t="s">
        <v>47</v>
      </c>
      <c r="AH745" s="1" t="s">
        <v>49</v>
      </c>
      <c r="AI745" s="1" t="s">
        <v>47</v>
      </c>
      <c r="AK745" s="1" t="s">
        <v>48</v>
      </c>
      <c r="AL745" s="1" t="s">
        <v>2447</v>
      </c>
    </row>
    <row r="746" spans="1:38">
      <c r="A746" s="1">
        <v>5138779</v>
      </c>
      <c r="B746" s="1" t="s">
        <v>288</v>
      </c>
      <c r="C746" s="1" t="str">
        <f>"9780273776208"</f>
        <v>9780273776208</v>
      </c>
      <c r="D746" s="1" t="str">
        <f>"9780273776284"</f>
        <v>9780273776284</v>
      </c>
      <c r="E746" s="1" t="s">
        <v>52</v>
      </c>
      <c r="F746" s="1" t="s">
        <v>40</v>
      </c>
      <c r="G746" s="3">
        <v>41438</v>
      </c>
      <c r="H746" s="3">
        <v>1</v>
      </c>
      <c r="I746" s="1" t="s">
        <v>41</v>
      </c>
      <c r="J746" s="1">
        <v>7</v>
      </c>
      <c r="L746" s="1" t="s">
        <v>2448</v>
      </c>
      <c r="M746" s="1" t="s">
        <v>59</v>
      </c>
      <c r="N746" s="1" t="s">
        <v>2449</v>
      </c>
      <c r="O746" s="1">
        <v>658.5</v>
      </c>
      <c r="P746" s="1" t="s">
        <v>2450</v>
      </c>
      <c r="Q746" s="1" t="s">
        <v>46</v>
      </c>
      <c r="R746" s="1" t="s">
        <v>47</v>
      </c>
      <c r="S746" s="1" t="s">
        <v>47</v>
      </c>
      <c r="T746" s="1" t="s">
        <v>48</v>
      </c>
      <c r="U746" s="1" t="s">
        <v>47</v>
      </c>
      <c r="V746" s="1" t="s">
        <v>47</v>
      </c>
      <c r="W746" s="1" t="s">
        <v>47</v>
      </c>
      <c r="Z746" s="1">
        <v>0</v>
      </c>
      <c r="AB746" s="1" t="s">
        <v>47</v>
      </c>
      <c r="AD746" s="1">
        <v>502442</v>
      </c>
      <c r="AF746" s="1" t="s">
        <v>47</v>
      </c>
      <c r="AG746" s="1" t="s">
        <v>47</v>
      </c>
      <c r="AH746" s="1" t="s">
        <v>49</v>
      </c>
      <c r="AI746" s="1" t="s">
        <v>47</v>
      </c>
      <c r="AK746" s="1" t="s">
        <v>48</v>
      </c>
      <c r="AL746" s="1" t="s">
        <v>2451</v>
      </c>
    </row>
    <row r="747" spans="1:38">
      <c r="A747" s="1">
        <v>5138785</v>
      </c>
      <c r="B747" s="1" t="s">
        <v>2452</v>
      </c>
      <c r="C747" s="1" t="str">
        <f>"9781292040677"</f>
        <v>9781292040677</v>
      </c>
      <c r="D747" s="1" t="str">
        <f>"9781292055442"</f>
        <v>9781292055442</v>
      </c>
      <c r="E747" s="1" t="s">
        <v>52</v>
      </c>
      <c r="F747" s="1" t="s">
        <v>40</v>
      </c>
      <c r="G747" s="3">
        <v>41579</v>
      </c>
      <c r="H747" s="3">
        <v>1</v>
      </c>
      <c r="I747" s="1" t="s">
        <v>41</v>
      </c>
      <c r="J747" s="1">
        <v>3</v>
      </c>
      <c r="L747" s="1" t="s">
        <v>2453</v>
      </c>
      <c r="M747" s="1" t="s">
        <v>2454</v>
      </c>
      <c r="O747" s="1">
        <v>526</v>
      </c>
      <c r="Q747" s="1" t="s">
        <v>46</v>
      </c>
      <c r="R747" s="1" t="s">
        <v>47</v>
      </c>
      <c r="S747" s="1" t="s">
        <v>47</v>
      </c>
      <c r="T747" s="1" t="s">
        <v>48</v>
      </c>
      <c r="U747" s="1" t="s">
        <v>47</v>
      </c>
      <c r="V747" s="1" t="s">
        <v>47</v>
      </c>
      <c r="W747" s="1" t="s">
        <v>47</v>
      </c>
      <c r="Z747" s="1">
        <v>0</v>
      </c>
      <c r="AB747" s="1" t="s">
        <v>47</v>
      </c>
      <c r="AD747" s="1">
        <v>543344</v>
      </c>
      <c r="AF747" s="1" t="s">
        <v>47</v>
      </c>
      <c r="AG747" s="1" t="s">
        <v>47</v>
      </c>
      <c r="AH747" s="1" t="s">
        <v>49</v>
      </c>
      <c r="AI747" s="1" t="s">
        <v>47</v>
      </c>
      <c r="AK747" s="1" t="s">
        <v>48</v>
      </c>
      <c r="AL747" s="1" t="s">
        <v>2455</v>
      </c>
    </row>
    <row r="748" spans="1:38">
      <c r="A748" s="1">
        <v>5138791</v>
      </c>
      <c r="B748" s="1" t="s">
        <v>2456</v>
      </c>
      <c r="C748" s="1" t="str">
        <f>"9781292021997"</f>
        <v>9781292021997</v>
      </c>
      <c r="D748" s="1" t="str">
        <f>"9781292035208"</f>
        <v>9781292035208</v>
      </c>
      <c r="E748" s="1" t="s">
        <v>52</v>
      </c>
      <c r="F748" s="1" t="s">
        <v>40</v>
      </c>
      <c r="G748" s="3">
        <v>41492</v>
      </c>
      <c r="H748" s="3">
        <v>1</v>
      </c>
      <c r="I748" s="1" t="s">
        <v>41</v>
      </c>
      <c r="J748" s="1">
        <v>10</v>
      </c>
      <c r="L748" s="1" t="s">
        <v>2457</v>
      </c>
      <c r="M748" s="1" t="s">
        <v>54</v>
      </c>
      <c r="O748" s="1">
        <v>371.33</v>
      </c>
      <c r="Q748" s="1" t="s">
        <v>46</v>
      </c>
      <c r="R748" s="1" t="s">
        <v>47</v>
      </c>
      <c r="S748" s="1" t="s">
        <v>47</v>
      </c>
      <c r="T748" s="1" t="s">
        <v>48</v>
      </c>
      <c r="U748" s="1" t="s">
        <v>47</v>
      </c>
      <c r="V748" s="1" t="s">
        <v>47</v>
      </c>
      <c r="W748" s="1" t="s">
        <v>47</v>
      </c>
      <c r="Z748" s="1">
        <v>0</v>
      </c>
      <c r="AB748" s="1" t="s">
        <v>47</v>
      </c>
      <c r="AD748" s="1">
        <v>527369</v>
      </c>
      <c r="AF748" s="1" t="s">
        <v>47</v>
      </c>
      <c r="AG748" s="1" t="s">
        <v>47</v>
      </c>
      <c r="AH748" s="1" t="s">
        <v>49</v>
      </c>
      <c r="AI748" s="1" t="s">
        <v>47</v>
      </c>
      <c r="AK748" s="1" t="s">
        <v>48</v>
      </c>
      <c r="AL748" s="1" t="s">
        <v>2458</v>
      </c>
    </row>
    <row r="749" spans="1:38">
      <c r="A749" s="1">
        <v>5138793</v>
      </c>
      <c r="B749" s="1" t="s">
        <v>2459</v>
      </c>
      <c r="C749" s="1" t="str">
        <f>""</f>
        <v/>
      </c>
      <c r="D749" s="1" t="str">
        <f>"9780273775577"</f>
        <v>9780273775577</v>
      </c>
      <c r="E749" s="1" t="s">
        <v>52</v>
      </c>
      <c r="F749" s="1" t="s">
        <v>365</v>
      </c>
      <c r="G749" s="3">
        <v>41353</v>
      </c>
      <c r="H749" s="3">
        <v>1</v>
      </c>
      <c r="I749" s="1" t="s">
        <v>41</v>
      </c>
      <c r="J749" s="1">
        <v>3</v>
      </c>
      <c r="L749" s="1" t="s">
        <v>2460</v>
      </c>
      <c r="Q749" s="1" t="s">
        <v>46</v>
      </c>
      <c r="R749" s="1" t="s">
        <v>47</v>
      </c>
      <c r="S749" s="1" t="s">
        <v>47</v>
      </c>
      <c r="T749" s="1" t="s">
        <v>48</v>
      </c>
      <c r="U749" s="1" t="s">
        <v>47</v>
      </c>
      <c r="V749" s="1" t="s">
        <v>47</v>
      </c>
      <c r="W749" s="1" t="s">
        <v>47</v>
      </c>
      <c r="Z749" s="1">
        <v>0</v>
      </c>
      <c r="AB749" s="1" t="s">
        <v>47</v>
      </c>
      <c r="AD749" s="1">
        <v>469816</v>
      </c>
      <c r="AF749" s="1" t="s">
        <v>47</v>
      </c>
      <c r="AG749" s="1" t="s">
        <v>47</v>
      </c>
      <c r="AH749" s="1" t="s">
        <v>49</v>
      </c>
      <c r="AI749" s="1" t="s">
        <v>47</v>
      </c>
      <c r="AK749" s="1" t="s">
        <v>48</v>
      </c>
      <c r="AL749" s="1" t="s">
        <v>2461</v>
      </c>
    </row>
    <row r="750" spans="1:38">
      <c r="A750" s="1">
        <v>5138798</v>
      </c>
      <c r="B750" s="1" t="s">
        <v>2462</v>
      </c>
      <c r="C750" s="1" t="str">
        <f>"9781408293461"</f>
        <v>9781408293461</v>
      </c>
      <c r="D750" s="1" t="str">
        <f>"9781408293485"</f>
        <v>9781408293485</v>
      </c>
      <c r="E750" s="1" t="s">
        <v>52</v>
      </c>
      <c r="F750" s="1" t="s">
        <v>40</v>
      </c>
      <c r="G750" s="3">
        <v>41397</v>
      </c>
      <c r="H750" s="3">
        <v>1</v>
      </c>
      <c r="I750" s="1" t="s">
        <v>41</v>
      </c>
      <c r="J750" s="1">
        <v>3</v>
      </c>
      <c r="L750" s="1" t="s">
        <v>293</v>
      </c>
      <c r="M750" s="1" t="s">
        <v>162</v>
      </c>
      <c r="O750" s="1">
        <v>346.42043000000001</v>
      </c>
      <c r="Q750" s="1" t="s">
        <v>46</v>
      </c>
      <c r="R750" s="1" t="s">
        <v>47</v>
      </c>
      <c r="S750" s="1" t="s">
        <v>47</v>
      </c>
      <c r="T750" s="1" t="s">
        <v>48</v>
      </c>
      <c r="U750" s="1" t="s">
        <v>47</v>
      </c>
      <c r="V750" s="1" t="s">
        <v>47</v>
      </c>
      <c r="W750" s="1" t="s">
        <v>47</v>
      </c>
      <c r="Z750" s="1">
        <v>0</v>
      </c>
      <c r="AB750" s="1" t="s">
        <v>47</v>
      </c>
      <c r="AD750" s="1">
        <v>485119</v>
      </c>
      <c r="AF750" s="1" t="s">
        <v>47</v>
      </c>
      <c r="AG750" s="1" t="s">
        <v>47</v>
      </c>
      <c r="AH750" s="1" t="s">
        <v>49</v>
      </c>
      <c r="AI750" s="1" t="s">
        <v>47</v>
      </c>
      <c r="AK750" s="1" t="s">
        <v>48</v>
      </c>
      <c r="AL750" s="1" t="s">
        <v>2463</v>
      </c>
    </row>
    <row r="751" spans="1:38">
      <c r="A751" s="1">
        <v>5138804</v>
      </c>
      <c r="B751" s="1" t="s">
        <v>2464</v>
      </c>
      <c r="C751" s="1" t="str">
        <f>"9781292041599"</f>
        <v>9781292041599</v>
      </c>
      <c r="D751" s="1" t="str">
        <f>"9781292055480"</f>
        <v>9781292055480</v>
      </c>
      <c r="E751" s="1" t="s">
        <v>52</v>
      </c>
      <c r="F751" s="1" t="s">
        <v>40</v>
      </c>
      <c r="G751" s="3">
        <v>41579</v>
      </c>
      <c r="H751" s="3">
        <v>1</v>
      </c>
      <c r="I751" s="1" t="s">
        <v>41</v>
      </c>
      <c r="J751" s="1">
        <v>2</v>
      </c>
      <c r="L751" s="1" t="s">
        <v>2465</v>
      </c>
      <c r="M751" s="1" t="s">
        <v>54</v>
      </c>
      <c r="O751" s="1">
        <v>371.91</v>
      </c>
      <c r="Q751" s="1" t="s">
        <v>46</v>
      </c>
      <c r="R751" s="1" t="s">
        <v>47</v>
      </c>
      <c r="S751" s="1" t="s">
        <v>47</v>
      </c>
      <c r="T751" s="1" t="s">
        <v>48</v>
      </c>
      <c r="U751" s="1" t="s">
        <v>47</v>
      </c>
      <c r="V751" s="1" t="s">
        <v>47</v>
      </c>
      <c r="W751" s="1" t="s">
        <v>47</v>
      </c>
      <c r="Z751" s="1">
        <v>0</v>
      </c>
      <c r="AB751" s="1" t="s">
        <v>47</v>
      </c>
      <c r="AD751" s="1">
        <v>543556</v>
      </c>
      <c r="AF751" s="1" t="s">
        <v>47</v>
      </c>
      <c r="AG751" s="1" t="s">
        <v>47</v>
      </c>
      <c r="AH751" s="1" t="s">
        <v>49</v>
      </c>
      <c r="AI751" s="1" t="s">
        <v>47</v>
      </c>
      <c r="AK751" s="1" t="s">
        <v>48</v>
      </c>
      <c r="AL751" s="1" t="s">
        <v>2466</v>
      </c>
    </row>
    <row r="752" spans="1:38">
      <c r="A752" s="1">
        <v>5138807</v>
      </c>
      <c r="B752" s="1" t="s">
        <v>2467</v>
      </c>
      <c r="C752" s="1" t="str">
        <f>"9781292023076"</f>
        <v>9781292023076</v>
      </c>
      <c r="D752" s="1" t="str">
        <f>"9781292036250"</f>
        <v>9781292036250</v>
      </c>
      <c r="E752" s="1" t="s">
        <v>52</v>
      </c>
      <c r="F752" s="1" t="s">
        <v>40</v>
      </c>
      <c r="G752" s="3">
        <v>41492</v>
      </c>
      <c r="H752" s="3">
        <v>1</v>
      </c>
      <c r="I752" s="1" t="s">
        <v>41</v>
      </c>
      <c r="J752" s="1">
        <v>6</v>
      </c>
      <c r="L752" s="1" t="s">
        <v>2468</v>
      </c>
      <c r="M752" s="1" t="s">
        <v>922</v>
      </c>
      <c r="O752" s="1">
        <v>332.673</v>
      </c>
      <c r="Q752" s="1" t="s">
        <v>46</v>
      </c>
      <c r="R752" s="1" t="s">
        <v>47</v>
      </c>
      <c r="S752" s="1" t="s">
        <v>47</v>
      </c>
      <c r="T752" s="1" t="s">
        <v>48</v>
      </c>
      <c r="U752" s="1" t="s">
        <v>47</v>
      </c>
      <c r="V752" s="1" t="s">
        <v>47</v>
      </c>
      <c r="W752" s="1" t="s">
        <v>47</v>
      </c>
      <c r="Z752" s="1">
        <v>0</v>
      </c>
      <c r="AB752" s="1" t="s">
        <v>47</v>
      </c>
      <c r="AD752" s="1">
        <v>527317</v>
      </c>
      <c r="AF752" s="1" t="s">
        <v>47</v>
      </c>
      <c r="AG752" s="1" t="s">
        <v>47</v>
      </c>
      <c r="AH752" s="1" t="s">
        <v>49</v>
      </c>
      <c r="AI752" s="1" t="s">
        <v>47</v>
      </c>
      <c r="AK752" s="1" t="s">
        <v>48</v>
      </c>
      <c r="AL752" s="1" t="s">
        <v>2469</v>
      </c>
    </row>
    <row r="753" spans="1:38">
      <c r="A753" s="1">
        <v>5138811</v>
      </c>
      <c r="B753" s="1" t="s">
        <v>2470</v>
      </c>
      <c r="C753" s="1" t="str">
        <f>"9781292023533"</f>
        <v>9781292023533</v>
      </c>
      <c r="D753" s="1" t="str">
        <f>"9781292036700"</f>
        <v>9781292036700</v>
      </c>
      <c r="E753" s="1" t="s">
        <v>52</v>
      </c>
      <c r="F753" s="1" t="s">
        <v>40</v>
      </c>
      <c r="G753" s="3">
        <v>41491</v>
      </c>
      <c r="H753" s="3">
        <v>1</v>
      </c>
      <c r="I753" s="1" t="s">
        <v>41</v>
      </c>
      <c r="J753" s="1">
        <v>1</v>
      </c>
      <c r="L753" s="1" t="s">
        <v>2471</v>
      </c>
      <c r="M753" s="1" t="s">
        <v>59</v>
      </c>
      <c r="O753" s="1">
        <v>658.87199999999996</v>
      </c>
      <c r="Q753" s="1" t="s">
        <v>46</v>
      </c>
      <c r="R753" s="1" t="s">
        <v>47</v>
      </c>
      <c r="S753" s="1" t="s">
        <v>47</v>
      </c>
      <c r="T753" s="1" t="s">
        <v>48</v>
      </c>
      <c r="U753" s="1" t="s">
        <v>47</v>
      </c>
      <c r="V753" s="1" t="s">
        <v>47</v>
      </c>
      <c r="W753" s="1" t="s">
        <v>47</v>
      </c>
      <c r="Z753" s="1">
        <v>0</v>
      </c>
      <c r="AB753" s="1" t="s">
        <v>47</v>
      </c>
      <c r="AD753" s="1">
        <v>527072</v>
      </c>
      <c r="AF753" s="1" t="s">
        <v>47</v>
      </c>
      <c r="AG753" s="1" t="s">
        <v>47</v>
      </c>
      <c r="AH753" s="1" t="s">
        <v>49</v>
      </c>
      <c r="AI753" s="1" t="s">
        <v>47</v>
      </c>
      <c r="AK753" s="1" t="s">
        <v>48</v>
      </c>
      <c r="AL753" s="1" t="s">
        <v>2472</v>
      </c>
    </row>
    <row r="754" spans="1:38">
      <c r="A754" s="1">
        <v>5138812</v>
      </c>
      <c r="B754" s="1" t="s">
        <v>2356</v>
      </c>
      <c r="C754" s="1" t="str">
        <f>"9781292042824"</f>
        <v>9781292042824</v>
      </c>
      <c r="D754" s="1" t="str">
        <f>"9781292055497"</f>
        <v>9781292055497</v>
      </c>
      <c r="E754" s="1" t="s">
        <v>52</v>
      </c>
      <c r="F754" s="1" t="s">
        <v>40</v>
      </c>
      <c r="G754" s="3">
        <v>41537</v>
      </c>
      <c r="H754" s="3">
        <v>1</v>
      </c>
      <c r="I754" s="1" t="s">
        <v>41</v>
      </c>
      <c r="J754" s="1">
        <v>8</v>
      </c>
      <c r="L754" s="1" t="s">
        <v>2473</v>
      </c>
      <c r="M754" s="1" t="s">
        <v>100</v>
      </c>
      <c r="O754" s="1">
        <v>153</v>
      </c>
      <c r="Q754" s="1" t="s">
        <v>46</v>
      </c>
      <c r="R754" s="1" t="s">
        <v>47</v>
      </c>
      <c r="S754" s="1" t="s">
        <v>47</v>
      </c>
      <c r="T754" s="1" t="s">
        <v>48</v>
      </c>
      <c r="U754" s="1" t="s">
        <v>47</v>
      </c>
      <c r="V754" s="1" t="s">
        <v>47</v>
      </c>
      <c r="W754" s="1" t="s">
        <v>47</v>
      </c>
      <c r="Z754" s="1">
        <v>0</v>
      </c>
      <c r="AB754" s="1" t="s">
        <v>47</v>
      </c>
      <c r="AD754" s="1">
        <v>543608</v>
      </c>
      <c r="AF754" s="1" t="s">
        <v>47</v>
      </c>
      <c r="AG754" s="1" t="s">
        <v>47</v>
      </c>
      <c r="AH754" s="1" t="s">
        <v>49</v>
      </c>
      <c r="AI754" s="1" t="s">
        <v>47</v>
      </c>
      <c r="AK754" s="1" t="s">
        <v>48</v>
      </c>
      <c r="AL754" s="1" t="s">
        <v>2474</v>
      </c>
    </row>
    <row r="755" spans="1:38">
      <c r="A755" s="1">
        <v>5138814</v>
      </c>
      <c r="B755" s="1" t="s">
        <v>2475</v>
      </c>
      <c r="C755" s="1" t="str">
        <f>"9781292025032"</f>
        <v>9781292025032</v>
      </c>
      <c r="D755" s="1" t="str">
        <f>"9781292037660"</f>
        <v>9781292037660</v>
      </c>
      <c r="E755" s="1" t="s">
        <v>52</v>
      </c>
      <c r="F755" s="1" t="s">
        <v>40</v>
      </c>
      <c r="G755" s="3">
        <v>41484</v>
      </c>
      <c r="H755" s="3">
        <v>1</v>
      </c>
      <c r="I755" s="1" t="s">
        <v>41</v>
      </c>
      <c r="J755" s="1">
        <v>2</v>
      </c>
      <c r="L755" s="1" t="s">
        <v>2476</v>
      </c>
      <c r="M755" s="1" t="s">
        <v>242</v>
      </c>
      <c r="O755" s="1">
        <v>512.5</v>
      </c>
      <c r="Q755" s="1" t="s">
        <v>46</v>
      </c>
      <c r="R755" s="1" t="s">
        <v>47</v>
      </c>
      <c r="S755" s="1" t="s">
        <v>47</v>
      </c>
      <c r="T755" s="1" t="s">
        <v>48</v>
      </c>
      <c r="U755" s="1" t="s">
        <v>47</v>
      </c>
      <c r="V755" s="1" t="s">
        <v>47</v>
      </c>
      <c r="W755" s="1" t="s">
        <v>47</v>
      </c>
      <c r="Z755" s="1">
        <v>0</v>
      </c>
      <c r="AB755" s="1" t="s">
        <v>47</v>
      </c>
      <c r="AD755" s="1">
        <v>527385</v>
      </c>
      <c r="AF755" s="1" t="s">
        <v>47</v>
      </c>
      <c r="AG755" s="1" t="s">
        <v>47</v>
      </c>
      <c r="AH755" s="1" t="s">
        <v>49</v>
      </c>
      <c r="AI755" s="1" t="s">
        <v>47</v>
      </c>
      <c r="AK755" s="1" t="s">
        <v>48</v>
      </c>
      <c r="AL755" s="1" t="s">
        <v>2477</v>
      </c>
    </row>
    <row r="756" spans="1:38">
      <c r="A756" s="1">
        <v>5138817</v>
      </c>
      <c r="B756" s="1" t="s">
        <v>2478</v>
      </c>
      <c r="C756" s="1" t="str">
        <f>"9781292026824"</f>
        <v>9781292026824</v>
      </c>
      <c r="D756" s="1" t="str">
        <f>"9781292055510"</f>
        <v>9781292055510</v>
      </c>
      <c r="E756" s="1" t="s">
        <v>52</v>
      </c>
      <c r="F756" s="1" t="s">
        <v>40</v>
      </c>
      <c r="G756" s="3">
        <v>41579</v>
      </c>
      <c r="H756" s="3">
        <v>1</v>
      </c>
      <c r="I756" s="1" t="s">
        <v>41</v>
      </c>
      <c r="J756" s="1">
        <v>9</v>
      </c>
      <c r="L756" s="1" t="s">
        <v>2479</v>
      </c>
      <c r="M756" s="1" t="s">
        <v>242</v>
      </c>
      <c r="O756" s="1">
        <v>519.50243</v>
      </c>
      <c r="Q756" s="1" t="s">
        <v>46</v>
      </c>
      <c r="R756" s="1" t="s">
        <v>47</v>
      </c>
      <c r="S756" s="1" t="s">
        <v>47</v>
      </c>
      <c r="T756" s="1" t="s">
        <v>48</v>
      </c>
      <c r="U756" s="1" t="s">
        <v>47</v>
      </c>
      <c r="V756" s="1" t="s">
        <v>47</v>
      </c>
      <c r="W756" s="1" t="s">
        <v>47</v>
      </c>
      <c r="Z756" s="1">
        <v>0</v>
      </c>
      <c r="AB756" s="1" t="s">
        <v>47</v>
      </c>
      <c r="AD756" s="1">
        <v>543571</v>
      </c>
      <c r="AF756" s="1" t="s">
        <v>47</v>
      </c>
      <c r="AG756" s="1" t="s">
        <v>47</v>
      </c>
      <c r="AH756" s="1" t="s">
        <v>49</v>
      </c>
      <c r="AI756" s="1" t="s">
        <v>47</v>
      </c>
      <c r="AK756" s="1" t="s">
        <v>48</v>
      </c>
      <c r="AL756" s="1" t="s">
        <v>2480</v>
      </c>
    </row>
    <row r="757" spans="1:38">
      <c r="A757" s="1">
        <v>5138828</v>
      </c>
      <c r="B757" s="1" t="s">
        <v>2481</v>
      </c>
      <c r="C757" s="1" t="str">
        <f>"9781292026428"</f>
        <v>9781292026428</v>
      </c>
      <c r="D757" s="1" t="str">
        <f>"9781292038810"</f>
        <v>9781292038810</v>
      </c>
      <c r="E757" s="1" t="s">
        <v>52</v>
      </c>
      <c r="F757" s="1" t="s">
        <v>40</v>
      </c>
      <c r="G757" s="3">
        <v>41515</v>
      </c>
      <c r="H757" s="3">
        <v>1</v>
      </c>
      <c r="I757" s="1" t="s">
        <v>41</v>
      </c>
      <c r="J757" s="1">
        <v>5</v>
      </c>
      <c r="L757" s="1" t="s">
        <v>2482</v>
      </c>
      <c r="Q757" s="1" t="s">
        <v>46</v>
      </c>
      <c r="R757" s="1" t="s">
        <v>47</v>
      </c>
      <c r="S757" s="1" t="s">
        <v>47</v>
      </c>
      <c r="T757" s="1" t="s">
        <v>48</v>
      </c>
      <c r="U757" s="1" t="s">
        <v>47</v>
      </c>
      <c r="V757" s="1" t="s">
        <v>47</v>
      </c>
      <c r="W757" s="1" t="s">
        <v>47</v>
      </c>
      <c r="Z757" s="1">
        <v>0</v>
      </c>
      <c r="AB757" s="1" t="s">
        <v>47</v>
      </c>
      <c r="AD757" s="1">
        <v>527334</v>
      </c>
      <c r="AF757" s="1" t="s">
        <v>47</v>
      </c>
      <c r="AG757" s="1" t="s">
        <v>47</v>
      </c>
      <c r="AH757" s="1" t="s">
        <v>49</v>
      </c>
      <c r="AI757" s="1" t="s">
        <v>47</v>
      </c>
      <c r="AK757" s="1" t="s">
        <v>48</v>
      </c>
      <c r="AL757" s="1" t="s">
        <v>2483</v>
      </c>
    </row>
    <row r="758" spans="1:38">
      <c r="A758" s="1">
        <v>5138830</v>
      </c>
      <c r="B758" s="1" t="s">
        <v>2484</v>
      </c>
      <c r="C758" s="1" t="str">
        <f>"9781292023106"</f>
        <v>9781292023106</v>
      </c>
      <c r="D758" s="1" t="str">
        <f>"9781292036281"</f>
        <v>9781292036281</v>
      </c>
      <c r="E758" s="1" t="s">
        <v>52</v>
      </c>
      <c r="F758" s="1" t="s">
        <v>40</v>
      </c>
      <c r="G758" s="3">
        <v>41492</v>
      </c>
      <c r="H758" s="3">
        <v>1</v>
      </c>
      <c r="I758" s="1" t="s">
        <v>41</v>
      </c>
      <c r="J758" s="1">
        <v>9</v>
      </c>
      <c r="L758" s="1" t="s">
        <v>2485</v>
      </c>
      <c r="M758" s="1" t="s">
        <v>100</v>
      </c>
      <c r="O758" s="1">
        <v>150.72</v>
      </c>
      <c r="Q758" s="1" t="s">
        <v>46</v>
      </c>
      <c r="R758" s="1" t="s">
        <v>47</v>
      </c>
      <c r="S758" s="1" t="s">
        <v>47</v>
      </c>
      <c r="T758" s="1" t="s">
        <v>48</v>
      </c>
      <c r="U758" s="1" t="s">
        <v>47</v>
      </c>
      <c r="V758" s="1" t="s">
        <v>47</v>
      </c>
      <c r="W758" s="1" t="s">
        <v>47</v>
      </c>
      <c r="Z758" s="1">
        <v>0</v>
      </c>
      <c r="AB758" s="1" t="s">
        <v>47</v>
      </c>
      <c r="AD758" s="1">
        <v>527285</v>
      </c>
      <c r="AF758" s="1" t="s">
        <v>47</v>
      </c>
      <c r="AG758" s="1" t="s">
        <v>47</v>
      </c>
      <c r="AH758" s="1" t="s">
        <v>49</v>
      </c>
      <c r="AI758" s="1" t="s">
        <v>47</v>
      </c>
      <c r="AK758" s="1" t="s">
        <v>48</v>
      </c>
      <c r="AL758" s="1" t="s">
        <v>2486</v>
      </c>
    </row>
    <row r="759" spans="1:38">
      <c r="A759" s="1">
        <v>5138834</v>
      </c>
      <c r="B759" s="1" t="s">
        <v>2487</v>
      </c>
      <c r="C759" s="1" t="str">
        <f>"9780273738107"</f>
        <v>9780273738107</v>
      </c>
      <c r="D759" s="1" t="str">
        <f>"9780273738954"</f>
        <v>9780273738954</v>
      </c>
      <c r="E759" s="1" t="s">
        <v>52</v>
      </c>
      <c r="F759" s="1" t="s">
        <v>157</v>
      </c>
      <c r="G759" s="3">
        <v>40744</v>
      </c>
      <c r="H759" s="3">
        <v>1</v>
      </c>
      <c r="I759" s="1" t="s">
        <v>41</v>
      </c>
      <c r="J759" s="1">
        <v>1</v>
      </c>
      <c r="K759" s="1" t="s">
        <v>1539</v>
      </c>
      <c r="L759" s="1" t="s">
        <v>2488</v>
      </c>
      <c r="M759" s="1" t="s">
        <v>100</v>
      </c>
      <c r="N759" s="1" t="s">
        <v>227</v>
      </c>
      <c r="O759" s="1">
        <v>150.15190000000001</v>
      </c>
      <c r="P759" s="1" t="s">
        <v>2489</v>
      </c>
      <c r="Q759" s="1" t="s">
        <v>46</v>
      </c>
      <c r="R759" s="1" t="s">
        <v>47</v>
      </c>
      <c r="S759" s="1" t="s">
        <v>47</v>
      </c>
      <c r="T759" s="1" t="s">
        <v>48</v>
      </c>
      <c r="U759" s="1" t="s">
        <v>47</v>
      </c>
      <c r="V759" s="1" t="s">
        <v>47</v>
      </c>
      <c r="W759" s="1" t="s">
        <v>47</v>
      </c>
      <c r="Z759" s="1">
        <v>0</v>
      </c>
      <c r="AB759" s="1" t="s">
        <v>47</v>
      </c>
      <c r="AD759" s="1">
        <v>463028</v>
      </c>
      <c r="AF759" s="1" t="s">
        <v>47</v>
      </c>
      <c r="AG759" s="1" t="s">
        <v>47</v>
      </c>
      <c r="AH759" s="1" t="s">
        <v>49</v>
      </c>
      <c r="AI759" s="1" t="s">
        <v>47</v>
      </c>
      <c r="AK759" s="1" t="s">
        <v>48</v>
      </c>
      <c r="AL759" s="1" t="s">
        <v>2490</v>
      </c>
    </row>
    <row r="760" spans="1:38">
      <c r="A760" s="1">
        <v>5138838</v>
      </c>
      <c r="B760" s="1" t="s">
        <v>2491</v>
      </c>
      <c r="C760" s="1" t="str">
        <f>"9781292022574"</f>
        <v>9781292022574</v>
      </c>
      <c r="D760" s="1" t="str">
        <f>"9781292035772"</f>
        <v>9781292035772</v>
      </c>
      <c r="E760" s="1" t="s">
        <v>52</v>
      </c>
      <c r="F760" s="1" t="s">
        <v>40</v>
      </c>
      <c r="G760" s="3">
        <v>41492</v>
      </c>
      <c r="H760" s="3">
        <v>1</v>
      </c>
      <c r="I760" s="1" t="s">
        <v>41</v>
      </c>
      <c r="J760" s="1">
        <v>2</v>
      </c>
      <c r="L760" s="1" t="s">
        <v>2492</v>
      </c>
      <c r="M760" s="1" t="s">
        <v>556</v>
      </c>
      <c r="O760" s="1">
        <v>5.55</v>
      </c>
      <c r="Q760" s="1" t="s">
        <v>46</v>
      </c>
      <c r="R760" s="1" t="s">
        <v>47</v>
      </c>
      <c r="S760" s="1" t="s">
        <v>47</v>
      </c>
      <c r="T760" s="1" t="s">
        <v>48</v>
      </c>
      <c r="U760" s="1" t="s">
        <v>47</v>
      </c>
      <c r="V760" s="1" t="s">
        <v>47</v>
      </c>
      <c r="W760" s="1" t="s">
        <v>47</v>
      </c>
      <c r="Z760" s="1">
        <v>0</v>
      </c>
      <c r="AB760" s="1" t="s">
        <v>47</v>
      </c>
      <c r="AD760" s="1">
        <v>527272</v>
      </c>
      <c r="AF760" s="1" t="s">
        <v>47</v>
      </c>
      <c r="AG760" s="1" t="s">
        <v>47</v>
      </c>
      <c r="AH760" s="1" t="s">
        <v>49</v>
      </c>
      <c r="AI760" s="1" t="s">
        <v>47</v>
      </c>
      <c r="AK760" s="1" t="s">
        <v>48</v>
      </c>
      <c r="AL760" s="1" t="s">
        <v>2493</v>
      </c>
    </row>
    <row r="761" spans="1:38">
      <c r="A761" s="1">
        <v>5138839</v>
      </c>
      <c r="B761" s="1" t="s">
        <v>2494</v>
      </c>
      <c r="C761" s="1" t="str">
        <f>""</f>
        <v/>
      </c>
      <c r="D761" s="1" t="str">
        <f>"9780273738084"</f>
        <v>9780273738084</v>
      </c>
      <c r="E761" s="1" t="s">
        <v>52</v>
      </c>
      <c r="F761" s="1" t="s">
        <v>157</v>
      </c>
      <c r="G761" s="3">
        <v>40567</v>
      </c>
      <c r="H761" s="3">
        <v>1</v>
      </c>
      <c r="I761" s="1" t="s">
        <v>41</v>
      </c>
      <c r="J761" s="1">
        <v>1</v>
      </c>
      <c r="L761" s="1" t="s">
        <v>2495</v>
      </c>
      <c r="Q761" s="1" t="s">
        <v>46</v>
      </c>
      <c r="R761" s="1" t="s">
        <v>47</v>
      </c>
      <c r="S761" s="1" t="s">
        <v>47</v>
      </c>
      <c r="T761" s="1" t="s">
        <v>48</v>
      </c>
      <c r="U761" s="1" t="s">
        <v>47</v>
      </c>
      <c r="V761" s="1" t="s">
        <v>47</v>
      </c>
      <c r="W761" s="1" t="s">
        <v>47</v>
      </c>
      <c r="Z761" s="1">
        <v>0</v>
      </c>
      <c r="AB761" s="1" t="s">
        <v>47</v>
      </c>
      <c r="AD761" s="1">
        <v>298370</v>
      </c>
      <c r="AF761" s="1" t="s">
        <v>47</v>
      </c>
      <c r="AG761" s="1" t="s">
        <v>47</v>
      </c>
      <c r="AH761" s="1" t="s">
        <v>49</v>
      </c>
      <c r="AI761" s="1" t="s">
        <v>47</v>
      </c>
      <c r="AK761" s="1" t="s">
        <v>48</v>
      </c>
      <c r="AL761" s="1" t="s">
        <v>2496</v>
      </c>
    </row>
    <row r="762" spans="1:38">
      <c r="A762" s="1">
        <v>5138847</v>
      </c>
      <c r="B762" s="1" t="s">
        <v>2497</v>
      </c>
      <c r="C762" s="1" t="str">
        <f>"9781292040714"</f>
        <v>9781292040714</v>
      </c>
      <c r="D762" s="1" t="str">
        <f>"9781292055541"</f>
        <v>9781292055541</v>
      </c>
      <c r="E762" s="1" t="s">
        <v>52</v>
      </c>
      <c r="F762" s="1" t="s">
        <v>40</v>
      </c>
      <c r="G762" s="3">
        <v>41579</v>
      </c>
      <c r="H762" s="3">
        <v>1</v>
      </c>
      <c r="I762" s="1" t="s">
        <v>41</v>
      </c>
      <c r="J762" s="1">
        <v>8</v>
      </c>
      <c r="L762" s="1" t="s">
        <v>2498</v>
      </c>
      <c r="M762" s="1" t="s">
        <v>1107</v>
      </c>
      <c r="O762" s="1">
        <v>808.06630199999995</v>
      </c>
      <c r="Q762" s="1" t="s">
        <v>46</v>
      </c>
      <c r="R762" s="1" t="s">
        <v>47</v>
      </c>
      <c r="S762" s="1" t="s">
        <v>47</v>
      </c>
      <c r="T762" s="1" t="s">
        <v>48</v>
      </c>
      <c r="U762" s="1" t="s">
        <v>47</v>
      </c>
      <c r="V762" s="1" t="s">
        <v>47</v>
      </c>
      <c r="W762" s="1" t="s">
        <v>47</v>
      </c>
      <c r="Z762" s="1">
        <v>0</v>
      </c>
      <c r="AB762" s="1" t="s">
        <v>47</v>
      </c>
      <c r="AD762" s="1">
        <v>543491</v>
      </c>
      <c r="AF762" s="1" t="s">
        <v>47</v>
      </c>
      <c r="AG762" s="1" t="s">
        <v>47</v>
      </c>
      <c r="AH762" s="1" t="s">
        <v>49</v>
      </c>
      <c r="AI762" s="1" t="s">
        <v>47</v>
      </c>
      <c r="AK762" s="1" t="s">
        <v>48</v>
      </c>
      <c r="AL762" s="1" t="s">
        <v>2499</v>
      </c>
    </row>
    <row r="763" spans="1:38">
      <c r="A763" s="1">
        <v>5138851</v>
      </c>
      <c r="B763" s="1" t="s">
        <v>2500</v>
      </c>
      <c r="C763" s="1" t="str">
        <f>"9781408272329"</f>
        <v>9781408272329</v>
      </c>
      <c r="D763" s="1" t="str">
        <f>"9781408272336"</f>
        <v>9781408272336</v>
      </c>
      <c r="E763" s="1" t="s">
        <v>52</v>
      </c>
      <c r="F763" s="1" t="s">
        <v>40</v>
      </c>
      <c r="G763" s="3">
        <v>41339</v>
      </c>
      <c r="H763" s="3">
        <v>1</v>
      </c>
      <c r="I763" s="1" t="s">
        <v>41</v>
      </c>
      <c r="J763" s="1">
        <v>1</v>
      </c>
      <c r="K763" s="1" t="s">
        <v>2501</v>
      </c>
      <c r="L763" s="1" t="s">
        <v>2502</v>
      </c>
      <c r="M763" s="1" t="s">
        <v>162</v>
      </c>
      <c r="N763" s="1" t="s">
        <v>2503</v>
      </c>
      <c r="O763" s="1">
        <v>344</v>
      </c>
      <c r="Q763" s="1" t="s">
        <v>46</v>
      </c>
      <c r="R763" s="1" t="s">
        <v>47</v>
      </c>
      <c r="S763" s="1" t="s">
        <v>47</v>
      </c>
      <c r="T763" s="1" t="s">
        <v>48</v>
      </c>
      <c r="U763" s="1" t="s">
        <v>47</v>
      </c>
      <c r="V763" s="1" t="s">
        <v>47</v>
      </c>
      <c r="W763" s="1" t="s">
        <v>47</v>
      </c>
      <c r="Z763" s="1">
        <v>0</v>
      </c>
      <c r="AB763" s="1" t="s">
        <v>47</v>
      </c>
      <c r="AD763" s="1">
        <v>459583</v>
      </c>
      <c r="AF763" s="1" t="s">
        <v>47</v>
      </c>
      <c r="AG763" s="1" t="s">
        <v>47</v>
      </c>
      <c r="AH763" s="1" t="s">
        <v>49</v>
      </c>
      <c r="AI763" s="1" t="s">
        <v>47</v>
      </c>
      <c r="AK763" s="1" t="s">
        <v>48</v>
      </c>
      <c r="AL763" s="1" t="s">
        <v>2504</v>
      </c>
    </row>
    <row r="764" spans="1:38">
      <c r="A764" s="1">
        <v>5138852</v>
      </c>
      <c r="B764" s="1" t="s">
        <v>2505</v>
      </c>
      <c r="C764" s="1" t="str">
        <f>"9781292041087"</f>
        <v>9781292041087</v>
      </c>
      <c r="D764" s="1" t="str">
        <f>"9781292055572"</f>
        <v>9781292055572</v>
      </c>
      <c r="E764" s="1" t="s">
        <v>52</v>
      </c>
      <c r="F764" s="1" t="s">
        <v>40</v>
      </c>
      <c r="G764" s="3">
        <v>41579</v>
      </c>
      <c r="H764" s="3">
        <v>1</v>
      </c>
      <c r="I764" s="1" t="s">
        <v>41</v>
      </c>
      <c r="J764" s="1">
        <v>2</v>
      </c>
      <c r="L764" s="1" t="s">
        <v>2506</v>
      </c>
      <c r="M764" s="1" t="s">
        <v>54</v>
      </c>
      <c r="O764" s="1">
        <v>370.72</v>
      </c>
      <c r="Q764" s="1" t="s">
        <v>46</v>
      </c>
      <c r="R764" s="1" t="s">
        <v>47</v>
      </c>
      <c r="S764" s="1" t="s">
        <v>47</v>
      </c>
      <c r="T764" s="1" t="s">
        <v>48</v>
      </c>
      <c r="U764" s="1" t="s">
        <v>47</v>
      </c>
      <c r="V764" s="1" t="s">
        <v>47</v>
      </c>
      <c r="W764" s="1" t="s">
        <v>47</v>
      </c>
      <c r="Z764" s="1">
        <v>0</v>
      </c>
      <c r="AB764" s="1" t="s">
        <v>47</v>
      </c>
      <c r="AD764" s="1">
        <v>543470</v>
      </c>
      <c r="AF764" s="1" t="s">
        <v>47</v>
      </c>
      <c r="AG764" s="1" t="s">
        <v>47</v>
      </c>
      <c r="AH764" s="1" t="s">
        <v>49</v>
      </c>
      <c r="AI764" s="1" t="s">
        <v>47</v>
      </c>
      <c r="AK764" s="1" t="s">
        <v>48</v>
      </c>
      <c r="AL764" s="1" t="s">
        <v>2507</v>
      </c>
    </row>
    <row r="765" spans="1:38">
      <c r="A765" s="1">
        <v>5138858</v>
      </c>
      <c r="B765" s="1" t="s">
        <v>2508</v>
      </c>
      <c r="C765" s="1" t="str">
        <f>"9781292021195"</f>
        <v>9781292021195</v>
      </c>
      <c r="D765" s="1" t="str">
        <f>"9781292034423"</f>
        <v>9781292034423</v>
      </c>
      <c r="E765" s="1" t="s">
        <v>52</v>
      </c>
      <c r="F765" s="1" t="s">
        <v>40</v>
      </c>
      <c r="G765" s="3">
        <v>41478</v>
      </c>
      <c r="H765" s="3">
        <v>1</v>
      </c>
      <c r="I765" s="1" t="s">
        <v>41</v>
      </c>
      <c r="J765" s="1">
        <v>6</v>
      </c>
      <c r="L765" s="1" t="s">
        <v>2509</v>
      </c>
      <c r="M765" s="1" t="s">
        <v>922</v>
      </c>
      <c r="O765" s="1">
        <v>330.9</v>
      </c>
      <c r="Q765" s="1" t="s">
        <v>46</v>
      </c>
      <c r="R765" s="1" t="s">
        <v>47</v>
      </c>
      <c r="S765" s="1" t="s">
        <v>47</v>
      </c>
      <c r="T765" s="1" t="s">
        <v>48</v>
      </c>
      <c r="U765" s="1" t="s">
        <v>47</v>
      </c>
      <c r="V765" s="1" t="s">
        <v>47</v>
      </c>
      <c r="W765" s="1" t="s">
        <v>47</v>
      </c>
      <c r="Z765" s="1">
        <v>0</v>
      </c>
      <c r="AB765" s="1" t="s">
        <v>47</v>
      </c>
      <c r="AD765" s="1">
        <v>526959</v>
      </c>
      <c r="AF765" s="1" t="s">
        <v>47</v>
      </c>
      <c r="AG765" s="1" t="s">
        <v>47</v>
      </c>
      <c r="AH765" s="1" t="s">
        <v>49</v>
      </c>
      <c r="AI765" s="1" t="s">
        <v>47</v>
      </c>
      <c r="AK765" s="1" t="s">
        <v>48</v>
      </c>
      <c r="AL765" s="1" t="s">
        <v>2510</v>
      </c>
    </row>
    <row r="766" spans="1:38">
      <c r="A766" s="1">
        <v>5138860</v>
      </c>
      <c r="B766" s="1" t="s">
        <v>2511</v>
      </c>
      <c r="C766" s="1" t="str">
        <f>"9780273715399"</f>
        <v>9780273715399</v>
      </c>
      <c r="D766" s="1" t="str">
        <f>"9780273762416"</f>
        <v>9780273762416</v>
      </c>
      <c r="E766" s="1" t="s">
        <v>52</v>
      </c>
      <c r="F766" s="1" t="s">
        <v>67</v>
      </c>
      <c r="G766" s="3">
        <v>40346</v>
      </c>
      <c r="H766" s="3">
        <v>1</v>
      </c>
      <c r="I766" s="1" t="s">
        <v>41</v>
      </c>
      <c r="J766" s="1">
        <v>2</v>
      </c>
      <c r="L766" s="1" t="s">
        <v>2512</v>
      </c>
      <c r="M766" s="1" t="s">
        <v>256</v>
      </c>
      <c r="N766" s="1" t="s">
        <v>2513</v>
      </c>
      <c r="O766" s="1">
        <v>338.83</v>
      </c>
      <c r="P766" s="1" t="s">
        <v>2514</v>
      </c>
      <c r="Q766" s="1" t="s">
        <v>46</v>
      </c>
      <c r="R766" s="1" t="s">
        <v>47</v>
      </c>
      <c r="S766" s="1" t="s">
        <v>47</v>
      </c>
      <c r="T766" s="1" t="s">
        <v>48</v>
      </c>
      <c r="U766" s="1" t="s">
        <v>47</v>
      </c>
      <c r="V766" s="1" t="s">
        <v>47</v>
      </c>
      <c r="W766" s="1" t="s">
        <v>47</v>
      </c>
      <c r="Z766" s="1">
        <v>0</v>
      </c>
      <c r="AB766" s="1" t="s">
        <v>47</v>
      </c>
      <c r="AD766" s="1">
        <v>317348</v>
      </c>
      <c r="AF766" s="1" t="s">
        <v>47</v>
      </c>
      <c r="AG766" s="1" t="s">
        <v>47</v>
      </c>
      <c r="AH766" s="1" t="s">
        <v>49</v>
      </c>
      <c r="AI766" s="1" t="s">
        <v>47</v>
      </c>
      <c r="AK766" s="1" t="s">
        <v>48</v>
      </c>
      <c r="AL766" s="1" t="s">
        <v>2515</v>
      </c>
    </row>
    <row r="767" spans="1:38">
      <c r="A767" s="1">
        <v>5138861</v>
      </c>
      <c r="B767" s="1" t="s">
        <v>1143</v>
      </c>
      <c r="C767" s="1" t="str">
        <f>"9781292024714"</f>
        <v>9781292024714</v>
      </c>
      <c r="D767" s="1" t="str">
        <f>"9781292037394"</f>
        <v>9781292037394</v>
      </c>
      <c r="E767" s="1" t="s">
        <v>52</v>
      </c>
      <c r="F767" s="1" t="s">
        <v>40</v>
      </c>
      <c r="G767" s="3">
        <v>41472</v>
      </c>
      <c r="H767" s="3">
        <v>1</v>
      </c>
      <c r="I767" s="1" t="s">
        <v>41</v>
      </c>
      <c r="J767" s="1">
        <v>9</v>
      </c>
      <c r="L767" s="1" t="s">
        <v>2516</v>
      </c>
      <c r="M767" s="1" t="s">
        <v>242</v>
      </c>
      <c r="O767" s="1">
        <v>512.13</v>
      </c>
      <c r="Q767" s="1" t="s">
        <v>46</v>
      </c>
      <c r="R767" s="1" t="s">
        <v>47</v>
      </c>
      <c r="S767" s="1" t="s">
        <v>47</v>
      </c>
      <c r="T767" s="1" t="s">
        <v>48</v>
      </c>
      <c r="U767" s="1" t="s">
        <v>47</v>
      </c>
      <c r="V767" s="1" t="s">
        <v>47</v>
      </c>
      <c r="W767" s="1" t="s">
        <v>47</v>
      </c>
      <c r="Z767" s="1">
        <v>0</v>
      </c>
      <c r="AB767" s="1" t="s">
        <v>47</v>
      </c>
      <c r="AD767" s="1">
        <v>527056</v>
      </c>
      <c r="AF767" s="1" t="s">
        <v>47</v>
      </c>
      <c r="AG767" s="1" t="s">
        <v>47</v>
      </c>
      <c r="AH767" s="1" t="s">
        <v>49</v>
      </c>
      <c r="AI767" s="1" t="s">
        <v>47</v>
      </c>
      <c r="AK767" s="1" t="s">
        <v>48</v>
      </c>
      <c r="AL767" s="1" t="s">
        <v>2517</v>
      </c>
    </row>
    <row r="768" spans="1:38">
      <c r="A768" s="1">
        <v>5138862</v>
      </c>
      <c r="B768" s="1" t="s">
        <v>495</v>
      </c>
      <c r="C768" s="1" t="str">
        <f>"9781292024707"</f>
        <v>9781292024707</v>
      </c>
      <c r="D768" s="1" t="str">
        <f>"9781292037387"</f>
        <v>9781292037387</v>
      </c>
      <c r="E768" s="1" t="s">
        <v>52</v>
      </c>
      <c r="F768" s="1" t="s">
        <v>40</v>
      </c>
      <c r="G768" s="3">
        <v>41481</v>
      </c>
      <c r="H768" s="3">
        <v>1</v>
      </c>
      <c r="I768" s="1" t="s">
        <v>41</v>
      </c>
      <c r="J768" s="1">
        <v>9</v>
      </c>
      <c r="L768" s="1" t="s">
        <v>2516</v>
      </c>
      <c r="M768" s="1" t="s">
        <v>242</v>
      </c>
      <c r="O768" s="1">
        <v>510</v>
      </c>
      <c r="Q768" s="1" t="s">
        <v>46</v>
      </c>
      <c r="R768" s="1" t="s">
        <v>47</v>
      </c>
      <c r="S768" s="1" t="s">
        <v>47</v>
      </c>
      <c r="T768" s="1" t="s">
        <v>48</v>
      </c>
      <c r="U768" s="1" t="s">
        <v>47</v>
      </c>
      <c r="V768" s="1" t="s">
        <v>47</v>
      </c>
      <c r="W768" s="1" t="s">
        <v>47</v>
      </c>
      <c r="Z768" s="1">
        <v>0</v>
      </c>
      <c r="AB768" s="1" t="s">
        <v>47</v>
      </c>
      <c r="AD768" s="1">
        <v>527115</v>
      </c>
      <c r="AF768" s="1" t="s">
        <v>47</v>
      </c>
      <c r="AG768" s="1" t="s">
        <v>47</v>
      </c>
      <c r="AH768" s="1" t="s">
        <v>49</v>
      </c>
      <c r="AI768" s="1" t="s">
        <v>47</v>
      </c>
      <c r="AK768" s="1" t="s">
        <v>48</v>
      </c>
      <c r="AL768" s="1" t="s">
        <v>2518</v>
      </c>
    </row>
    <row r="769" spans="1:38">
      <c r="A769" s="1">
        <v>5138863</v>
      </c>
      <c r="B769" s="1" t="s">
        <v>1058</v>
      </c>
      <c r="C769" s="1" t="str">
        <f>"9781292023953"</f>
        <v>9781292023953</v>
      </c>
      <c r="D769" s="1" t="str">
        <f>"9781292037059"</f>
        <v>9781292037059</v>
      </c>
      <c r="E769" s="1" t="s">
        <v>52</v>
      </c>
      <c r="F769" s="1" t="s">
        <v>40</v>
      </c>
      <c r="G769" s="3">
        <v>41515</v>
      </c>
      <c r="H769" s="3">
        <v>1</v>
      </c>
      <c r="I769" s="1" t="s">
        <v>41</v>
      </c>
      <c r="J769" s="1">
        <v>4</v>
      </c>
      <c r="L769" s="1" t="s">
        <v>2516</v>
      </c>
      <c r="Q769" s="1" t="s">
        <v>46</v>
      </c>
      <c r="R769" s="1" t="s">
        <v>47</v>
      </c>
      <c r="S769" s="1" t="s">
        <v>47</v>
      </c>
      <c r="T769" s="1" t="s">
        <v>48</v>
      </c>
      <c r="U769" s="1" t="s">
        <v>47</v>
      </c>
      <c r="V769" s="1" t="s">
        <v>47</v>
      </c>
      <c r="W769" s="1" t="s">
        <v>47</v>
      </c>
      <c r="Z769" s="1">
        <v>0</v>
      </c>
      <c r="AB769" s="1" t="s">
        <v>47</v>
      </c>
      <c r="AD769" s="1">
        <v>527292</v>
      </c>
      <c r="AF769" s="1" t="s">
        <v>47</v>
      </c>
      <c r="AG769" s="1" t="s">
        <v>47</v>
      </c>
      <c r="AH769" s="1" t="s">
        <v>49</v>
      </c>
      <c r="AI769" s="1" t="s">
        <v>47</v>
      </c>
      <c r="AK769" s="1" t="s">
        <v>48</v>
      </c>
      <c r="AL769" s="1" t="s">
        <v>2519</v>
      </c>
    </row>
    <row r="770" spans="1:38">
      <c r="A770" s="1">
        <v>5138865</v>
      </c>
      <c r="B770" s="1" t="s">
        <v>2520</v>
      </c>
      <c r="C770" s="1" t="str">
        <f>"9781292024981"</f>
        <v>9781292024981</v>
      </c>
      <c r="D770" s="1" t="str">
        <f>"9781292037615"</f>
        <v>9781292037615</v>
      </c>
      <c r="E770" s="1" t="s">
        <v>52</v>
      </c>
      <c r="F770" s="1" t="s">
        <v>40</v>
      </c>
      <c r="G770" s="3">
        <v>41493</v>
      </c>
      <c r="H770" s="3">
        <v>1</v>
      </c>
      <c r="I770" s="1" t="s">
        <v>41</v>
      </c>
      <c r="J770" s="1">
        <v>6</v>
      </c>
      <c r="L770" s="1" t="s">
        <v>2521</v>
      </c>
      <c r="M770" s="1" t="s">
        <v>242</v>
      </c>
      <c r="O770" s="1">
        <v>519.5</v>
      </c>
      <c r="Q770" s="1" t="s">
        <v>46</v>
      </c>
      <c r="R770" s="1" t="s">
        <v>47</v>
      </c>
      <c r="S770" s="1" t="s">
        <v>47</v>
      </c>
      <c r="T770" s="1" t="s">
        <v>48</v>
      </c>
      <c r="U770" s="1" t="s">
        <v>47</v>
      </c>
      <c r="V770" s="1" t="s">
        <v>47</v>
      </c>
      <c r="W770" s="1" t="s">
        <v>47</v>
      </c>
      <c r="Z770" s="1">
        <v>0</v>
      </c>
      <c r="AB770" s="1" t="s">
        <v>47</v>
      </c>
      <c r="AD770" s="1">
        <v>527228</v>
      </c>
      <c r="AF770" s="1" t="s">
        <v>47</v>
      </c>
      <c r="AG770" s="1" t="s">
        <v>47</v>
      </c>
      <c r="AH770" s="1" t="s">
        <v>49</v>
      </c>
      <c r="AI770" s="1" t="s">
        <v>47</v>
      </c>
      <c r="AK770" s="1" t="s">
        <v>48</v>
      </c>
      <c r="AL770" s="1" t="s">
        <v>2522</v>
      </c>
    </row>
    <row r="771" spans="1:38">
      <c r="A771" s="1">
        <v>5138882</v>
      </c>
      <c r="B771" s="1" t="s">
        <v>2523</v>
      </c>
      <c r="C771" s="1" t="str">
        <f>"9781292022048"</f>
        <v>9781292022048</v>
      </c>
      <c r="D771" s="1" t="str">
        <f>"9781292035253"</f>
        <v>9781292035253</v>
      </c>
      <c r="E771" s="1" t="s">
        <v>52</v>
      </c>
      <c r="F771" s="1" t="s">
        <v>40</v>
      </c>
      <c r="G771" s="3">
        <v>41485</v>
      </c>
      <c r="H771" s="3">
        <v>1</v>
      </c>
      <c r="I771" s="1" t="s">
        <v>41</v>
      </c>
      <c r="J771" s="1">
        <v>8</v>
      </c>
      <c r="L771" s="1" t="s">
        <v>2524</v>
      </c>
      <c r="M771" s="1" t="s">
        <v>242</v>
      </c>
      <c r="O771" s="1">
        <v>510</v>
      </c>
      <c r="Q771" s="1" t="s">
        <v>46</v>
      </c>
      <c r="R771" s="1" t="s">
        <v>47</v>
      </c>
      <c r="S771" s="1" t="s">
        <v>47</v>
      </c>
      <c r="T771" s="1" t="s">
        <v>48</v>
      </c>
      <c r="U771" s="1" t="s">
        <v>47</v>
      </c>
      <c r="V771" s="1" t="s">
        <v>47</v>
      </c>
      <c r="W771" s="1" t="s">
        <v>47</v>
      </c>
      <c r="Z771" s="1">
        <v>0</v>
      </c>
      <c r="AB771" s="1" t="s">
        <v>47</v>
      </c>
      <c r="AD771" s="1">
        <v>527395</v>
      </c>
      <c r="AF771" s="1" t="s">
        <v>47</v>
      </c>
      <c r="AG771" s="1" t="s">
        <v>47</v>
      </c>
      <c r="AH771" s="1" t="s">
        <v>49</v>
      </c>
      <c r="AI771" s="1" t="s">
        <v>47</v>
      </c>
      <c r="AK771" s="1" t="s">
        <v>48</v>
      </c>
      <c r="AL771" s="1" t="s">
        <v>2525</v>
      </c>
    </row>
    <row r="772" spans="1:38">
      <c r="A772" s="1">
        <v>5138899</v>
      </c>
      <c r="B772" s="1" t="s">
        <v>2526</v>
      </c>
      <c r="C772" s="1" t="str">
        <f>""</f>
        <v/>
      </c>
      <c r="D772" s="1" t="str">
        <f>"9780273744573"</f>
        <v>9780273744573</v>
      </c>
      <c r="E772" s="1" t="s">
        <v>52</v>
      </c>
      <c r="F772" s="1" t="s">
        <v>110</v>
      </c>
      <c r="G772" s="3">
        <v>40745</v>
      </c>
      <c r="H772" s="3">
        <v>1</v>
      </c>
      <c r="I772" s="1" t="s">
        <v>41</v>
      </c>
      <c r="J772" s="1">
        <v>2</v>
      </c>
      <c r="L772" s="1" t="s">
        <v>2527</v>
      </c>
      <c r="Q772" s="1" t="s">
        <v>46</v>
      </c>
      <c r="R772" s="1" t="s">
        <v>47</v>
      </c>
      <c r="S772" s="1" t="s">
        <v>47</v>
      </c>
      <c r="T772" s="1" t="s">
        <v>48</v>
      </c>
      <c r="U772" s="1" t="s">
        <v>47</v>
      </c>
      <c r="V772" s="1" t="s">
        <v>47</v>
      </c>
      <c r="W772" s="1" t="s">
        <v>47</v>
      </c>
      <c r="Z772" s="1">
        <v>0</v>
      </c>
      <c r="AB772" s="1" t="s">
        <v>47</v>
      </c>
      <c r="AD772" s="1">
        <v>317333</v>
      </c>
      <c r="AF772" s="1" t="s">
        <v>47</v>
      </c>
      <c r="AG772" s="1" t="s">
        <v>47</v>
      </c>
      <c r="AH772" s="1" t="s">
        <v>49</v>
      </c>
      <c r="AI772" s="1" t="s">
        <v>47</v>
      </c>
      <c r="AK772" s="1" t="s">
        <v>48</v>
      </c>
      <c r="AL772" s="1" t="s">
        <v>2528</v>
      </c>
    </row>
    <row r="773" spans="1:38">
      <c r="A773" s="1">
        <v>5138904</v>
      </c>
      <c r="B773" s="1" t="s">
        <v>2529</v>
      </c>
      <c r="C773" s="1" t="str">
        <f>""</f>
        <v/>
      </c>
      <c r="D773" s="1" t="str">
        <f>"9780273751137"</f>
        <v>9780273751137</v>
      </c>
      <c r="E773" s="1" t="s">
        <v>52</v>
      </c>
      <c r="F773" s="1" t="s">
        <v>84</v>
      </c>
      <c r="G773" s="3">
        <v>40856</v>
      </c>
      <c r="H773" s="3">
        <v>1</v>
      </c>
      <c r="I773" s="1" t="s">
        <v>41</v>
      </c>
      <c r="J773" s="1">
        <v>2</v>
      </c>
      <c r="L773" s="1" t="s">
        <v>140</v>
      </c>
      <c r="Q773" s="1" t="s">
        <v>46</v>
      </c>
      <c r="R773" s="1" t="s">
        <v>47</v>
      </c>
      <c r="S773" s="1" t="s">
        <v>47</v>
      </c>
      <c r="T773" s="1" t="s">
        <v>48</v>
      </c>
      <c r="U773" s="1" t="s">
        <v>47</v>
      </c>
      <c r="V773" s="1" t="s">
        <v>47</v>
      </c>
      <c r="W773" s="1" t="s">
        <v>47</v>
      </c>
      <c r="Z773" s="1">
        <v>0</v>
      </c>
      <c r="AB773" s="1" t="s">
        <v>47</v>
      </c>
      <c r="AD773" s="1">
        <v>333408</v>
      </c>
      <c r="AF773" s="1" t="s">
        <v>47</v>
      </c>
      <c r="AG773" s="1" t="s">
        <v>47</v>
      </c>
      <c r="AH773" s="1" t="s">
        <v>49</v>
      </c>
      <c r="AI773" s="1" t="s">
        <v>47</v>
      </c>
      <c r="AK773" s="1" t="s">
        <v>48</v>
      </c>
      <c r="AL773" s="1" t="s">
        <v>2530</v>
      </c>
    </row>
    <row r="774" spans="1:38">
      <c r="A774" s="1">
        <v>5138911</v>
      </c>
      <c r="B774" s="1" t="s">
        <v>2531</v>
      </c>
      <c r="C774" s="1" t="str">
        <f>"9781292027616"</f>
        <v>9781292027616</v>
      </c>
      <c r="D774" s="1" t="str">
        <f>"9781292055640"</f>
        <v>9781292055640</v>
      </c>
      <c r="E774" s="1" t="s">
        <v>52</v>
      </c>
      <c r="F774" s="1" t="s">
        <v>40</v>
      </c>
      <c r="G774" s="3">
        <v>41579</v>
      </c>
      <c r="H774" s="3">
        <v>1</v>
      </c>
      <c r="I774" s="1" t="s">
        <v>41</v>
      </c>
      <c r="J774" s="1">
        <v>3</v>
      </c>
      <c r="L774" s="1" t="s">
        <v>2532</v>
      </c>
      <c r="M774" s="1" t="s">
        <v>207</v>
      </c>
      <c r="O774" s="1">
        <v>660.6</v>
      </c>
      <c r="Q774" s="1" t="s">
        <v>46</v>
      </c>
      <c r="R774" s="1" t="s">
        <v>47</v>
      </c>
      <c r="S774" s="1" t="s">
        <v>47</v>
      </c>
      <c r="T774" s="1" t="s">
        <v>48</v>
      </c>
      <c r="U774" s="1" t="s">
        <v>47</v>
      </c>
      <c r="V774" s="1" t="s">
        <v>47</v>
      </c>
      <c r="W774" s="1" t="s">
        <v>47</v>
      </c>
      <c r="Z774" s="1">
        <v>0</v>
      </c>
      <c r="AB774" s="1" t="s">
        <v>47</v>
      </c>
      <c r="AD774" s="1">
        <v>543531</v>
      </c>
      <c r="AF774" s="1" t="s">
        <v>47</v>
      </c>
      <c r="AG774" s="1" t="s">
        <v>47</v>
      </c>
      <c r="AH774" s="1" t="s">
        <v>49</v>
      </c>
      <c r="AI774" s="1" t="s">
        <v>47</v>
      </c>
      <c r="AK774" s="1" t="s">
        <v>48</v>
      </c>
      <c r="AL774" s="1" t="s">
        <v>2533</v>
      </c>
    </row>
    <row r="775" spans="1:38">
      <c r="A775" s="1">
        <v>5138914</v>
      </c>
      <c r="B775" s="1" t="s">
        <v>2534</v>
      </c>
      <c r="C775" s="1" t="str">
        <f>"9781292022833"</f>
        <v>9781292022833</v>
      </c>
      <c r="D775" s="1" t="str">
        <f>"9781292036021"</f>
        <v>9781292036021</v>
      </c>
      <c r="E775" s="1" t="s">
        <v>52</v>
      </c>
      <c r="F775" s="1" t="s">
        <v>40</v>
      </c>
      <c r="G775" s="3">
        <v>41492</v>
      </c>
      <c r="H775" s="3">
        <v>1</v>
      </c>
      <c r="I775" s="1" t="s">
        <v>41</v>
      </c>
      <c r="J775" s="1">
        <v>11</v>
      </c>
      <c r="L775" s="1" t="s">
        <v>2535</v>
      </c>
      <c r="M775" s="1" t="s">
        <v>468</v>
      </c>
      <c r="O775" s="1">
        <v>170</v>
      </c>
      <c r="Q775" s="1" t="s">
        <v>46</v>
      </c>
      <c r="R775" s="1" t="s">
        <v>47</v>
      </c>
      <c r="S775" s="1" t="s">
        <v>47</v>
      </c>
      <c r="T775" s="1" t="s">
        <v>48</v>
      </c>
      <c r="U775" s="1" t="s">
        <v>47</v>
      </c>
      <c r="V775" s="1" t="s">
        <v>47</v>
      </c>
      <c r="W775" s="1" t="s">
        <v>47</v>
      </c>
      <c r="Z775" s="1">
        <v>0</v>
      </c>
      <c r="AB775" s="1" t="s">
        <v>47</v>
      </c>
      <c r="AD775" s="1">
        <v>527065</v>
      </c>
      <c r="AF775" s="1" t="s">
        <v>47</v>
      </c>
      <c r="AG775" s="1" t="s">
        <v>47</v>
      </c>
      <c r="AH775" s="1" t="s">
        <v>49</v>
      </c>
      <c r="AI775" s="1" t="s">
        <v>47</v>
      </c>
      <c r="AK775" s="1" t="s">
        <v>48</v>
      </c>
      <c r="AL775" s="1" t="s">
        <v>2536</v>
      </c>
    </row>
    <row r="776" spans="1:38">
      <c r="A776" s="1">
        <v>5138915</v>
      </c>
      <c r="B776" s="1" t="s">
        <v>2537</v>
      </c>
      <c r="C776" s="1" t="str">
        <f>"9781292021232"</f>
        <v>9781292021232</v>
      </c>
      <c r="D776" s="1" t="str">
        <f>"9781292034461"</f>
        <v>9781292034461</v>
      </c>
      <c r="E776" s="1" t="s">
        <v>52</v>
      </c>
      <c r="F776" s="1" t="s">
        <v>40</v>
      </c>
      <c r="G776" s="3">
        <v>41484</v>
      </c>
      <c r="H776" s="3">
        <v>1</v>
      </c>
      <c r="I776" s="1" t="s">
        <v>41</v>
      </c>
      <c r="J776" s="1">
        <v>12</v>
      </c>
      <c r="L776" s="1" t="s">
        <v>2538</v>
      </c>
      <c r="M776" s="1" t="s">
        <v>242</v>
      </c>
      <c r="O776" s="1">
        <v>515</v>
      </c>
      <c r="Q776" s="1" t="s">
        <v>46</v>
      </c>
      <c r="R776" s="1" t="s">
        <v>47</v>
      </c>
      <c r="S776" s="1" t="s">
        <v>47</v>
      </c>
      <c r="T776" s="1" t="s">
        <v>48</v>
      </c>
      <c r="U776" s="1" t="s">
        <v>47</v>
      </c>
      <c r="V776" s="1" t="s">
        <v>47</v>
      </c>
      <c r="W776" s="1" t="s">
        <v>47</v>
      </c>
      <c r="Z776" s="1">
        <v>0</v>
      </c>
      <c r="AB776" s="1" t="s">
        <v>47</v>
      </c>
      <c r="AD776" s="1">
        <v>527265</v>
      </c>
      <c r="AF776" s="1" t="s">
        <v>47</v>
      </c>
      <c r="AG776" s="1" t="s">
        <v>47</v>
      </c>
      <c r="AH776" s="1" t="s">
        <v>49</v>
      </c>
      <c r="AI776" s="1" t="s">
        <v>47</v>
      </c>
      <c r="AK776" s="1" t="s">
        <v>48</v>
      </c>
      <c r="AL776" s="1" t="s">
        <v>2539</v>
      </c>
    </row>
    <row r="777" spans="1:38">
      <c r="A777" s="1">
        <v>5138924</v>
      </c>
      <c r="B777" s="1" t="s">
        <v>2540</v>
      </c>
      <c r="C777" s="1" t="str">
        <f>"9781292042435"</f>
        <v>9781292042435</v>
      </c>
      <c r="D777" s="1" t="str">
        <f>"9781292055664"</f>
        <v>9781292055664</v>
      </c>
      <c r="E777" s="1" t="s">
        <v>52</v>
      </c>
      <c r="F777" s="1" t="s">
        <v>40</v>
      </c>
      <c r="G777" s="3">
        <v>41579</v>
      </c>
      <c r="H777" s="3">
        <v>1</v>
      </c>
      <c r="I777" s="1" t="s">
        <v>41</v>
      </c>
      <c r="J777" s="1">
        <v>9</v>
      </c>
      <c r="L777" s="1" t="s">
        <v>2541</v>
      </c>
      <c r="M777" s="1" t="s">
        <v>482</v>
      </c>
      <c r="O777" s="1">
        <v>617.607572</v>
      </c>
      <c r="Q777" s="1" t="s">
        <v>46</v>
      </c>
      <c r="R777" s="1" t="s">
        <v>47</v>
      </c>
      <c r="S777" s="1" t="s">
        <v>47</v>
      </c>
      <c r="T777" s="1" t="s">
        <v>48</v>
      </c>
      <c r="U777" s="1" t="s">
        <v>47</v>
      </c>
      <c r="V777" s="1" t="s">
        <v>47</v>
      </c>
      <c r="W777" s="1" t="s">
        <v>47</v>
      </c>
      <c r="Z777" s="1">
        <v>0</v>
      </c>
      <c r="AB777" s="1" t="s">
        <v>47</v>
      </c>
      <c r="AD777" s="1">
        <v>543331</v>
      </c>
      <c r="AF777" s="1" t="s">
        <v>47</v>
      </c>
      <c r="AG777" s="1" t="s">
        <v>47</v>
      </c>
      <c r="AH777" s="1" t="s">
        <v>49</v>
      </c>
      <c r="AI777" s="1" t="s">
        <v>47</v>
      </c>
      <c r="AK777" s="1" t="s">
        <v>48</v>
      </c>
      <c r="AL777" s="1" t="s">
        <v>2542</v>
      </c>
    </row>
    <row r="778" spans="1:38">
      <c r="A778" s="1">
        <v>5138925</v>
      </c>
      <c r="B778" s="1" t="s">
        <v>2543</v>
      </c>
      <c r="C778" s="1" t="str">
        <f>"9781292041117"</f>
        <v>9781292041117</v>
      </c>
      <c r="D778" s="1" t="str">
        <f>"9781292055671"</f>
        <v>9781292055671</v>
      </c>
      <c r="E778" s="1" t="s">
        <v>52</v>
      </c>
      <c r="F778" s="1" t="s">
        <v>40</v>
      </c>
      <c r="G778" s="3">
        <v>41579</v>
      </c>
      <c r="H778" s="3">
        <v>1</v>
      </c>
      <c r="I778" s="1" t="s">
        <v>41</v>
      </c>
      <c r="J778" s="1">
        <v>8</v>
      </c>
      <c r="L778" s="1" t="s">
        <v>2544</v>
      </c>
      <c r="M778" s="1" t="s">
        <v>54</v>
      </c>
      <c r="O778" s="1">
        <v>371.26</v>
      </c>
      <c r="Q778" s="1" t="s">
        <v>46</v>
      </c>
      <c r="R778" s="1" t="s">
        <v>47</v>
      </c>
      <c r="S778" s="1" t="s">
        <v>47</v>
      </c>
      <c r="T778" s="1" t="s">
        <v>48</v>
      </c>
      <c r="U778" s="1" t="s">
        <v>47</v>
      </c>
      <c r="V778" s="1" t="s">
        <v>47</v>
      </c>
      <c r="W778" s="1" t="s">
        <v>47</v>
      </c>
      <c r="Z778" s="1">
        <v>0</v>
      </c>
      <c r="AB778" s="1" t="s">
        <v>47</v>
      </c>
      <c r="AD778" s="1">
        <v>543461</v>
      </c>
      <c r="AF778" s="1" t="s">
        <v>47</v>
      </c>
      <c r="AG778" s="1" t="s">
        <v>47</v>
      </c>
      <c r="AH778" s="1" t="s">
        <v>49</v>
      </c>
      <c r="AI778" s="1" t="s">
        <v>47</v>
      </c>
      <c r="AK778" s="1" t="s">
        <v>48</v>
      </c>
      <c r="AL778" s="1" t="s">
        <v>2545</v>
      </c>
    </row>
    <row r="779" spans="1:38">
      <c r="A779" s="1">
        <v>5138933</v>
      </c>
      <c r="B779" s="1" t="s">
        <v>2546</v>
      </c>
      <c r="C779" s="1" t="str">
        <f>"9781292039534"</f>
        <v>9781292039534</v>
      </c>
      <c r="D779" s="1" t="str">
        <f>"9781292055695"</f>
        <v>9781292055695</v>
      </c>
      <c r="E779" s="1" t="s">
        <v>52</v>
      </c>
      <c r="F779" s="1" t="s">
        <v>40</v>
      </c>
      <c r="G779" s="3">
        <v>41550</v>
      </c>
      <c r="H779" s="3">
        <v>1</v>
      </c>
      <c r="I779" s="1" t="s">
        <v>41</v>
      </c>
      <c r="J779" s="1">
        <v>4</v>
      </c>
      <c r="L779" s="1" t="s">
        <v>2547</v>
      </c>
      <c r="Q779" s="1" t="s">
        <v>46</v>
      </c>
      <c r="R779" s="1" t="s">
        <v>47</v>
      </c>
      <c r="S779" s="1" t="s">
        <v>47</v>
      </c>
      <c r="T779" s="1" t="s">
        <v>48</v>
      </c>
      <c r="U779" s="1" t="s">
        <v>47</v>
      </c>
      <c r="V779" s="1" t="s">
        <v>47</v>
      </c>
      <c r="W779" s="1" t="s">
        <v>47</v>
      </c>
      <c r="Z779" s="1">
        <v>0</v>
      </c>
      <c r="AB779" s="1" t="s">
        <v>47</v>
      </c>
      <c r="AD779" s="1">
        <v>543484</v>
      </c>
      <c r="AF779" s="1" t="s">
        <v>47</v>
      </c>
      <c r="AG779" s="1" t="s">
        <v>47</v>
      </c>
      <c r="AH779" s="1" t="s">
        <v>49</v>
      </c>
      <c r="AI779" s="1" t="s">
        <v>47</v>
      </c>
      <c r="AK779" s="1" t="s">
        <v>48</v>
      </c>
      <c r="AL779" s="1" t="s">
        <v>2548</v>
      </c>
    </row>
    <row r="780" spans="1:38">
      <c r="A780" s="1">
        <v>5138936</v>
      </c>
      <c r="B780" s="1" t="s">
        <v>1986</v>
      </c>
      <c r="C780" s="1" t="str">
        <f>"9781292023892"</f>
        <v>9781292023892</v>
      </c>
      <c r="D780" s="1" t="str">
        <f>"9781292037004"</f>
        <v>9781292037004</v>
      </c>
      <c r="E780" s="1" t="s">
        <v>52</v>
      </c>
      <c r="F780" s="1" t="s">
        <v>40</v>
      </c>
      <c r="G780" s="3">
        <v>41491</v>
      </c>
      <c r="H780" s="3">
        <v>1</v>
      </c>
      <c r="I780" s="1" t="s">
        <v>41</v>
      </c>
      <c r="J780" s="1">
        <v>8</v>
      </c>
      <c r="L780" s="1" t="s">
        <v>2549</v>
      </c>
      <c r="M780" s="1" t="s">
        <v>242</v>
      </c>
      <c r="O780" s="1">
        <v>512</v>
      </c>
      <c r="Q780" s="1" t="s">
        <v>46</v>
      </c>
      <c r="R780" s="1" t="s">
        <v>47</v>
      </c>
      <c r="S780" s="1" t="s">
        <v>47</v>
      </c>
      <c r="T780" s="1" t="s">
        <v>48</v>
      </c>
      <c r="U780" s="1" t="s">
        <v>47</v>
      </c>
      <c r="V780" s="1" t="s">
        <v>47</v>
      </c>
      <c r="W780" s="1" t="s">
        <v>47</v>
      </c>
      <c r="Z780" s="1">
        <v>0</v>
      </c>
      <c r="AB780" s="1" t="s">
        <v>47</v>
      </c>
      <c r="AD780" s="1">
        <v>527294</v>
      </c>
      <c r="AF780" s="1" t="s">
        <v>47</v>
      </c>
      <c r="AG780" s="1" t="s">
        <v>47</v>
      </c>
      <c r="AH780" s="1" t="s">
        <v>49</v>
      </c>
      <c r="AI780" s="1" t="s">
        <v>47</v>
      </c>
      <c r="AK780" s="1" t="s">
        <v>48</v>
      </c>
      <c r="AL780" s="1" t="s">
        <v>2550</v>
      </c>
    </row>
    <row r="781" spans="1:38">
      <c r="A781" s="1">
        <v>5138939</v>
      </c>
      <c r="B781" s="1" t="s">
        <v>2551</v>
      </c>
      <c r="C781" s="1" t="str">
        <f>"9781292025506"</f>
        <v>9781292025506</v>
      </c>
      <c r="D781" s="1" t="str">
        <f>"9781292037998"</f>
        <v>9781292037998</v>
      </c>
      <c r="E781" s="1" t="s">
        <v>52</v>
      </c>
      <c r="F781" s="1" t="s">
        <v>40</v>
      </c>
      <c r="G781" s="3">
        <v>41486</v>
      </c>
      <c r="H781" s="3">
        <v>1</v>
      </c>
      <c r="I781" s="1" t="s">
        <v>41</v>
      </c>
      <c r="J781" s="1">
        <v>11</v>
      </c>
      <c r="L781" s="1" t="s">
        <v>2552</v>
      </c>
      <c r="M781" s="1" t="s">
        <v>1527</v>
      </c>
      <c r="O781" s="1">
        <v>621.38099999999997</v>
      </c>
      <c r="Q781" s="1" t="s">
        <v>46</v>
      </c>
      <c r="R781" s="1" t="s">
        <v>47</v>
      </c>
      <c r="S781" s="1" t="s">
        <v>47</v>
      </c>
      <c r="T781" s="1" t="s">
        <v>48</v>
      </c>
      <c r="U781" s="1" t="s">
        <v>47</v>
      </c>
      <c r="V781" s="1" t="s">
        <v>47</v>
      </c>
      <c r="W781" s="1" t="s">
        <v>47</v>
      </c>
      <c r="Z781" s="1">
        <v>0</v>
      </c>
      <c r="AB781" s="1" t="s">
        <v>47</v>
      </c>
      <c r="AD781" s="1">
        <v>527102</v>
      </c>
      <c r="AF781" s="1" t="s">
        <v>47</v>
      </c>
      <c r="AG781" s="1" t="s">
        <v>47</v>
      </c>
      <c r="AH781" s="1" t="s">
        <v>49</v>
      </c>
      <c r="AI781" s="1" t="s">
        <v>47</v>
      </c>
      <c r="AK781" s="1" t="s">
        <v>48</v>
      </c>
      <c r="AL781" s="1" t="s">
        <v>2553</v>
      </c>
    </row>
    <row r="782" spans="1:38">
      <c r="A782" s="1">
        <v>5138940</v>
      </c>
      <c r="B782" s="1" t="s">
        <v>2554</v>
      </c>
      <c r="C782" s="1" t="str">
        <f>"9781292027357"</f>
        <v>9781292027357</v>
      </c>
      <c r="D782" s="1" t="str">
        <f>"9781292056265"</f>
        <v>9781292056265</v>
      </c>
      <c r="E782" s="1" t="s">
        <v>52</v>
      </c>
      <c r="F782" s="1" t="s">
        <v>40</v>
      </c>
      <c r="G782" s="3">
        <v>41579</v>
      </c>
      <c r="H782" s="3">
        <v>1</v>
      </c>
      <c r="I782" s="1" t="s">
        <v>41</v>
      </c>
      <c r="J782" s="1">
        <v>6</v>
      </c>
      <c r="L782" s="1" t="s">
        <v>2555</v>
      </c>
      <c r="M782" s="1" t="s">
        <v>280</v>
      </c>
      <c r="O782" s="1">
        <v>621.38199999999995</v>
      </c>
      <c r="Q782" s="1" t="s">
        <v>46</v>
      </c>
      <c r="R782" s="1" t="s">
        <v>47</v>
      </c>
      <c r="S782" s="1" t="s">
        <v>47</v>
      </c>
      <c r="T782" s="1" t="s">
        <v>48</v>
      </c>
      <c r="U782" s="1" t="s">
        <v>47</v>
      </c>
      <c r="V782" s="1" t="s">
        <v>47</v>
      </c>
      <c r="W782" s="1" t="s">
        <v>47</v>
      </c>
      <c r="Z782" s="1">
        <v>0</v>
      </c>
      <c r="AB782" s="1" t="s">
        <v>47</v>
      </c>
      <c r="AD782" s="1">
        <v>543385</v>
      </c>
      <c r="AF782" s="1" t="s">
        <v>47</v>
      </c>
      <c r="AG782" s="1" t="s">
        <v>47</v>
      </c>
      <c r="AH782" s="1" t="s">
        <v>49</v>
      </c>
      <c r="AI782" s="1" t="s">
        <v>47</v>
      </c>
      <c r="AK782" s="1" t="s">
        <v>48</v>
      </c>
      <c r="AL782" s="1" t="s">
        <v>2556</v>
      </c>
    </row>
    <row r="783" spans="1:38">
      <c r="A783" s="1">
        <v>5138942</v>
      </c>
      <c r="B783" s="1" t="s">
        <v>2557</v>
      </c>
      <c r="C783" s="1" t="str">
        <f>"9781292041100"</f>
        <v>9781292041100</v>
      </c>
      <c r="D783" s="1" t="str">
        <f>"9781292055725"</f>
        <v>9781292055725</v>
      </c>
      <c r="E783" s="1" t="s">
        <v>52</v>
      </c>
      <c r="F783" s="1" t="s">
        <v>40</v>
      </c>
      <c r="G783" s="3">
        <v>41579</v>
      </c>
      <c r="H783" s="3">
        <v>1</v>
      </c>
      <c r="I783" s="1" t="s">
        <v>41</v>
      </c>
      <c r="J783" s="1">
        <v>2</v>
      </c>
      <c r="L783" s="1" t="s">
        <v>2558</v>
      </c>
      <c r="M783" s="1" t="s">
        <v>176</v>
      </c>
      <c r="O783" s="1">
        <v>428.40710000000001</v>
      </c>
      <c r="Q783" s="1" t="s">
        <v>46</v>
      </c>
      <c r="R783" s="1" t="s">
        <v>47</v>
      </c>
      <c r="S783" s="1" t="s">
        <v>47</v>
      </c>
      <c r="T783" s="1" t="s">
        <v>48</v>
      </c>
      <c r="U783" s="1" t="s">
        <v>47</v>
      </c>
      <c r="V783" s="1" t="s">
        <v>47</v>
      </c>
      <c r="W783" s="1" t="s">
        <v>47</v>
      </c>
      <c r="Z783" s="1">
        <v>0</v>
      </c>
      <c r="AB783" s="1" t="s">
        <v>47</v>
      </c>
      <c r="AD783" s="1">
        <v>543416</v>
      </c>
      <c r="AF783" s="1" t="s">
        <v>47</v>
      </c>
      <c r="AG783" s="1" t="s">
        <v>47</v>
      </c>
      <c r="AH783" s="1" t="s">
        <v>49</v>
      </c>
      <c r="AI783" s="1" t="s">
        <v>47</v>
      </c>
      <c r="AK783" s="1" t="s">
        <v>48</v>
      </c>
      <c r="AL783" s="1" t="s">
        <v>2559</v>
      </c>
    </row>
    <row r="784" spans="1:38">
      <c r="A784" s="1">
        <v>5138943</v>
      </c>
      <c r="B784" s="1" t="s">
        <v>2560</v>
      </c>
      <c r="C784" s="1" t="str">
        <f>"9781292041544"</f>
        <v>9781292041544</v>
      </c>
      <c r="D784" s="1" t="str">
        <f>"9781292055732"</f>
        <v>9781292055732</v>
      </c>
      <c r="E784" s="1" t="s">
        <v>52</v>
      </c>
      <c r="F784" s="1" t="s">
        <v>40</v>
      </c>
      <c r="G784" s="3">
        <v>41579</v>
      </c>
      <c r="H784" s="3">
        <v>1</v>
      </c>
      <c r="I784" s="1" t="s">
        <v>41</v>
      </c>
      <c r="J784" s="1">
        <v>6</v>
      </c>
      <c r="L784" s="1" t="s">
        <v>2558</v>
      </c>
      <c r="M784" s="1" t="s">
        <v>54</v>
      </c>
      <c r="O784" s="1">
        <v>372.6</v>
      </c>
      <c r="Q784" s="1" t="s">
        <v>46</v>
      </c>
      <c r="R784" s="1" t="s">
        <v>47</v>
      </c>
      <c r="S784" s="1" t="s">
        <v>47</v>
      </c>
      <c r="T784" s="1" t="s">
        <v>48</v>
      </c>
      <c r="U784" s="1" t="s">
        <v>47</v>
      </c>
      <c r="V784" s="1" t="s">
        <v>47</v>
      </c>
      <c r="W784" s="1" t="s">
        <v>47</v>
      </c>
      <c r="Z784" s="1">
        <v>0</v>
      </c>
      <c r="AB784" s="1" t="s">
        <v>47</v>
      </c>
      <c r="AD784" s="1">
        <v>543435</v>
      </c>
      <c r="AF784" s="1" t="s">
        <v>47</v>
      </c>
      <c r="AG784" s="1" t="s">
        <v>47</v>
      </c>
      <c r="AH784" s="1" t="s">
        <v>49</v>
      </c>
      <c r="AI784" s="1" t="s">
        <v>47</v>
      </c>
      <c r="AK784" s="1" t="s">
        <v>48</v>
      </c>
      <c r="AL784" s="1" t="s">
        <v>2561</v>
      </c>
    </row>
    <row r="785" spans="1:38">
      <c r="A785" s="1">
        <v>5138946</v>
      </c>
      <c r="B785" s="1" t="s">
        <v>2562</v>
      </c>
      <c r="C785" s="1" t="str">
        <f>"9781292025308"</f>
        <v>9781292025308</v>
      </c>
      <c r="D785" s="1" t="str">
        <f>"9781292037868"</f>
        <v>9781292037868</v>
      </c>
      <c r="E785" s="1" t="s">
        <v>52</v>
      </c>
      <c r="F785" s="1" t="s">
        <v>40</v>
      </c>
      <c r="G785" s="3">
        <v>41488</v>
      </c>
      <c r="H785" s="3">
        <v>1</v>
      </c>
      <c r="I785" s="1" t="s">
        <v>41</v>
      </c>
      <c r="J785" s="1">
        <v>7</v>
      </c>
      <c r="L785" s="1" t="s">
        <v>2563</v>
      </c>
      <c r="M785" s="1" t="s">
        <v>372</v>
      </c>
      <c r="O785" s="1">
        <v>361.4</v>
      </c>
      <c r="Q785" s="1" t="s">
        <v>46</v>
      </c>
      <c r="R785" s="1" t="s">
        <v>47</v>
      </c>
      <c r="S785" s="1" t="s">
        <v>47</v>
      </c>
      <c r="T785" s="1" t="s">
        <v>48</v>
      </c>
      <c r="U785" s="1" t="s">
        <v>47</v>
      </c>
      <c r="V785" s="1" t="s">
        <v>47</v>
      </c>
      <c r="W785" s="1" t="s">
        <v>47</v>
      </c>
      <c r="Z785" s="1">
        <v>0</v>
      </c>
      <c r="AB785" s="1" t="s">
        <v>47</v>
      </c>
      <c r="AD785" s="1">
        <v>527062</v>
      </c>
      <c r="AF785" s="1" t="s">
        <v>47</v>
      </c>
      <c r="AG785" s="1" t="s">
        <v>47</v>
      </c>
      <c r="AH785" s="1" t="s">
        <v>49</v>
      </c>
      <c r="AI785" s="1" t="s">
        <v>47</v>
      </c>
      <c r="AK785" s="1" t="s">
        <v>48</v>
      </c>
      <c r="AL785" s="1" t="s">
        <v>2564</v>
      </c>
    </row>
    <row r="786" spans="1:38">
      <c r="A786" s="1">
        <v>5138950</v>
      </c>
      <c r="B786" s="1" t="s">
        <v>2565</v>
      </c>
      <c r="C786" s="1" t="str">
        <f>"9781292039640"</f>
        <v>9781292039640</v>
      </c>
      <c r="D786" s="1" t="str">
        <f>"9781292055794"</f>
        <v>9781292055794</v>
      </c>
      <c r="E786" s="1" t="s">
        <v>52</v>
      </c>
      <c r="F786" s="1" t="s">
        <v>40</v>
      </c>
      <c r="G786" s="3">
        <v>41579</v>
      </c>
      <c r="H786" s="3">
        <v>1</v>
      </c>
      <c r="I786" s="1" t="s">
        <v>41</v>
      </c>
      <c r="J786" s="1">
        <v>1</v>
      </c>
      <c r="L786" s="1" t="s">
        <v>2566</v>
      </c>
      <c r="M786" s="1" t="s">
        <v>1010</v>
      </c>
      <c r="O786" s="1">
        <v>570.15195000000006</v>
      </c>
      <c r="Q786" s="1" t="s">
        <v>46</v>
      </c>
      <c r="R786" s="1" t="s">
        <v>47</v>
      </c>
      <c r="S786" s="1" t="s">
        <v>47</v>
      </c>
      <c r="T786" s="1" t="s">
        <v>48</v>
      </c>
      <c r="U786" s="1" t="s">
        <v>47</v>
      </c>
      <c r="V786" s="1" t="s">
        <v>47</v>
      </c>
      <c r="W786" s="1" t="s">
        <v>47</v>
      </c>
      <c r="Z786" s="1">
        <v>0</v>
      </c>
      <c r="AB786" s="1" t="s">
        <v>47</v>
      </c>
      <c r="AF786" s="1" t="s">
        <v>47</v>
      </c>
      <c r="AG786" s="1" t="s">
        <v>47</v>
      </c>
      <c r="AH786" s="1" t="s">
        <v>49</v>
      </c>
      <c r="AI786" s="1" t="s">
        <v>47</v>
      </c>
      <c r="AK786" s="1" t="s">
        <v>48</v>
      </c>
      <c r="AL786" s="1" t="s">
        <v>2567</v>
      </c>
    </row>
    <row r="787" spans="1:38">
      <c r="A787" s="1">
        <v>5138954</v>
      </c>
      <c r="B787" s="1" t="s">
        <v>2568</v>
      </c>
      <c r="C787" s="1" t="str">
        <f>"9781292020723"</f>
        <v>9781292020723</v>
      </c>
      <c r="D787" s="1" t="str">
        <f>"9781292033976"</f>
        <v>9781292033976</v>
      </c>
      <c r="E787" s="1" t="s">
        <v>52</v>
      </c>
      <c r="F787" s="1" t="s">
        <v>40</v>
      </c>
      <c r="G787" s="3">
        <v>41513</v>
      </c>
      <c r="H787" s="3">
        <v>1</v>
      </c>
      <c r="I787" s="1" t="s">
        <v>41</v>
      </c>
      <c r="J787" s="1">
        <v>4</v>
      </c>
      <c r="L787" s="1" t="s">
        <v>975</v>
      </c>
      <c r="Q787" s="1" t="s">
        <v>46</v>
      </c>
      <c r="R787" s="1" t="s">
        <v>47</v>
      </c>
      <c r="S787" s="1" t="s">
        <v>47</v>
      </c>
      <c r="T787" s="1" t="s">
        <v>48</v>
      </c>
      <c r="U787" s="1" t="s">
        <v>47</v>
      </c>
      <c r="V787" s="1" t="s">
        <v>47</v>
      </c>
      <c r="W787" s="1" t="s">
        <v>47</v>
      </c>
      <c r="Z787" s="1">
        <v>0</v>
      </c>
      <c r="AB787" s="1" t="s">
        <v>47</v>
      </c>
      <c r="AD787" s="1">
        <v>526936</v>
      </c>
      <c r="AF787" s="1" t="s">
        <v>47</v>
      </c>
      <c r="AG787" s="1" t="s">
        <v>47</v>
      </c>
      <c r="AH787" s="1" t="s">
        <v>49</v>
      </c>
      <c r="AI787" s="1" t="s">
        <v>47</v>
      </c>
      <c r="AK787" s="1" t="s">
        <v>48</v>
      </c>
      <c r="AL787" s="1" t="s">
        <v>2569</v>
      </c>
    </row>
    <row r="788" spans="1:38">
      <c r="A788" s="1">
        <v>5138959</v>
      </c>
      <c r="B788" s="1" t="s">
        <v>2570</v>
      </c>
      <c r="C788" s="1" t="str">
        <f>"9780273736561"</f>
        <v>9780273736561</v>
      </c>
      <c r="D788" s="1" t="str">
        <f>"9780273736578"</f>
        <v>9780273736578</v>
      </c>
      <c r="E788" s="1" t="s">
        <v>52</v>
      </c>
      <c r="F788" s="1" t="s">
        <v>67</v>
      </c>
      <c r="G788" s="3">
        <v>40815</v>
      </c>
      <c r="H788" s="3">
        <v>1</v>
      </c>
      <c r="I788" s="1" t="s">
        <v>41</v>
      </c>
      <c r="J788" s="1">
        <v>5</v>
      </c>
      <c r="L788" s="1" t="s">
        <v>2571</v>
      </c>
      <c r="M788" s="1" t="s">
        <v>59</v>
      </c>
      <c r="N788" s="1" t="s">
        <v>2572</v>
      </c>
      <c r="O788" s="1">
        <v>658.57500000000005</v>
      </c>
      <c r="P788" s="1" t="s">
        <v>2573</v>
      </c>
      <c r="Q788" s="1" t="s">
        <v>46</v>
      </c>
      <c r="R788" s="1" t="s">
        <v>47</v>
      </c>
      <c r="S788" s="1" t="s">
        <v>47</v>
      </c>
      <c r="T788" s="1" t="s">
        <v>48</v>
      </c>
      <c r="U788" s="1" t="s">
        <v>47</v>
      </c>
      <c r="V788" s="1" t="s">
        <v>47</v>
      </c>
      <c r="W788" s="1" t="s">
        <v>47</v>
      </c>
      <c r="Z788" s="1">
        <v>0</v>
      </c>
      <c r="AB788" s="1" t="s">
        <v>47</v>
      </c>
      <c r="AD788" s="1">
        <v>463030</v>
      </c>
      <c r="AF788" s="1" t="s">
        <v>47</v>
      </c>
      <c r="AG788" s="1" t="s">
        <v>47</v>
      </c>
      <c r="AH788" s="1" t="s">
        <v>49</v>
      </c>
      <c r="AI788" s="1" t="s">
        <v>47</v>
      </c>
      <c r="AK788" s="1" t="s">
        <v>48</v>
      </c>
      <c r="AL788" s="1" t="s">
        <v>2574</v>
      </c>
    </row>
    <row r="789" spans="1:38">
      <c r="A789" s="1">
        <v>5138968</v>
      </c>
      <c r="B789" s="1" t="s">
        <v>2575</v>
      </c>
      <c r="C789" s="1" t="str">
        <f>"9780273735168"</f>
        <v>9780273735168</v>
      </c>
      <c r="D789" s="1" t="str">
        <f>"9780273735182"</f>
        <v>9780273735182</v>
      </c>
      <c r="E789" s="1" t="s">
        <v>52</v>
      </c>
      <c r="F789" s="1" t="s">
        <v>157</v>
      </c>
      <c r="G789" s="3">
        <v>40725</v>
      </c>
      <c r="H789" s="3">
        <v>1</v>
      </c>
      <c r="I789" s="1" t="s">
        <v>41</v>
      </c>
      <c r="J789" s="1">
        <v>1</v>
      </c>
      <c r="K789" s="1" t="s">
        <v>1539</v>
      </c>
      <c r="L789" s="1" t="s">
        <v>2576</v>
      </c>
      <c r="M789" s="1" t="s">
        <v>100</v>
      </c>
      <c r="N789" s="1" t="s">
        <v>575</v>
      </c>
      <c r="O789" s="1">
        <v>155</v>
      </c>
      <c r="P789" s="1" t="s">
        <v>2577</v>
      </c>
      <c r="Q789" s="1" t="s">
        <v>46</v>
      </c>
      <c r="R789" s="1" t="s">
        <v>47</v>
      </c>
      <c r="S789" s="1" t="s">
        <v>47</v>
      </c>
      <c r="T789" s="1" t="s">
        <v>48</v>
      </c>
      <c r="U789" s="1" t="s">
        <v>47</v>
      </c>
      <c r="V789" s="1" t="s">
        <v>47</v>
      </c>
      <c r="W789" s="1" t="s">
        <v>47</v>
      </c>
      <c r="Z789" s="1">
        <v>0</v>
      </c>
      <c r="AB789" s="1" t="s">
        <v>47</v>
      </c>
      <c r="AD789" s="1">
        <v>333395</v>
      </c>
      <c r="AF789" s="1" t="s">
        <v>47</v>
      </c>
      <c r="AG789" s="1" t="s">
        <v>47</v>
      </c>
      <c r="AH789" s="1" t="s">
        <v>49</v>
      </c>
      <c r="AI789" s="1" t="s">
        <v>47</v>
      </c>
      <c r="AK789" s="1" t="s">
        <v>48</v>
      </c>
      <c r="AL789" s="1" t="s">
        <v>2578</v>
      </c>
    </row>
    <row r="790" spans="1:38">
      <c r="A790" s="1">
        <v>5138974</v>
      </c>
      <c r="B790" s="1" t="s">
        <v>2579</v>
      </c>
      <c r="C790" s="1" t="str">
        <f>"9781292041995"</f>
        <v>9781292041995</v>
      </c>
      <c r="D790" s="1" t="str">
        <f>"9781292055824"</f>
        <v>9781292055824</v>
      </c>
      <c r="E790" s="1" t="s">
        <v>52</v>
      </c>
      <c r="F790" s="1" t="s">
        <v>40</v>
      </c>
      <c r="G790" s="3">
        <v>41579</v>
      </c>
      <c r="H790" s="3">
        <v>1</v>
      </c>
      <c r="I790" s="1" t="s">
        <v>41</v>
      </c>
      <c r="J790" s="1">
        <v>4</v>
      </c>
      <c r="L790" s="1" t="s">
        <v>2580</v>
      </c>
      <c r="M790" s="1" t="s">
        <v>176</v>
      </c>
      <c r="O790" s="1">
        <v>448.24209999999999</v>
      </c>
      <c r="Q790" s="1" t="s">
        <v>46</v>
      </c>
      <c r="R790" s="1" t="s">
        <v>47</v>
      </c>
      <c r="S790" s="1" t="s">
        <v>47</v>
      </c>
      <c r="T790" s="1" t="s">
        <v>48</v>
      </c>
      <c r="U790" s="1" t="s">
        <v>47</v>
      </c>
      <c r="V790" s="1" t="s">
        <v>47</v>
      </c>
      <c r="W790" s="1" t="s">
        <v>47</v>
      </c>
      <c r="Z790" s="1">
        <v>0</v>
      </c>
      <c r="AB790" s="1" t="s">
        <v>47</v>
      </c>
      <c r="AD790" s="1">
        <v>543427</v>
      </c>
      <c r="AF790" s="1" t="s">
        <v>47</v>
      </c>
      <c r="AG790" s="1" t="s">
        <v>47</v>
      </c>
      <c r="AH790" s="1" t="s">
        <v>49</v>
      </c>
      <c r="AI790" s="1" t="s">
        <v>47</v>
      </c>
      <c r="AK790" s="1" t="s">
        <v>48</v>
      </c>
      <c r="AL790" s="1" t="s">
        <v>2581</v>
      </c>
    </row>
    <row r="791" spans="1:38">
      <c r="A791" s="1">
        <v>5138976</v>
      </c>
      <c r="B791" s="1" t="s">
        <v>2582</v>
      </c>
      <c r="C791" s="1" t="str">
        <f>"9780273737940"</f>
        <v>9780273737940</v>
      </c>
      <c r="D791" s="1" t="str">
        <f>"9780273737971"</f>
        <v>9780273737971</v>
      </c>
      <c r="E791" s="1" t="s">
        <v>52</v>
      </c>
      <c r="F791" s="1" t="s">
        <v>40</v>
      </c>
      <c r="G791" s="3">
        <v>41365</v>
      </c>
      <c r="H791" s="3">
        <v>1</v>
      </c>
      <c r="I791" s="1" t="s">
        <v>41</v>
      </c>
      <c r="J791" s="1">
        <v>1</v>
      </c>
      <c r="L791" s="1" t="s">
        <v>2583</v>
      </c>
      <c r="M791" s="1" t="s">
        <v>100</v>
      </c>
      <c r="N791" s="1" t="s">
        <v>2584</v>
      </c>
      <c r="O791" s="1">
        <v>155.69999999999999</v>
      </c>
      <c r="P791" s="1" t="s">
        <v>2585</v>
      </c>
      <c r="Q791" s="1" t="s">
        <v>46</v>
      </c>
      <c r="R791" s="1" t="s">
        <v>47</v>
      </c>
      <c r="S791" s="1" t="s">
        <v>47</v>
      </c>
      <c r="T791" s="1" t="s">
        <v>48</v>
      </c>
      <c r="U791" s="1" t="s">
        <v>47</v>
      </c>
      <c r="V791" s="1" t="s">
        <v>47</v>
      </c>
      <c r="W791" s="1" t="s">
        <v>47</v>
      </c>
      <c r="Z791" s="1">
        <v>0</v>
      </c>
      <c r="AB791" s="1" t="s">
        <v>47</v>
      </c>
      <c r="AD791" s="1">
        <v>497447</v>
      </c>
      <c r="AF791" s="1" t="s">
        <v>47</v>
      </c>
      <c r="AG791" s="1" t="s">
        <v>47</v>
      </c>
      <c r="AH791" s="1" t="s">
        <v>49</v>
      </c>
      <c r="AI791" s="1" t="s">
        <v>47</v>
      </c>
      <c r="AK791" s="1" t="s">
        <v>48</v>
      </c>
      <c r="AL791" s="1" t="s">
        <v>2586</v>
      </c>
    </row>
    <row r="792" spans="1:38">
      <c r="A792" s="1">
        <v>5138977</v>
      </c>
      <c r="B792" s="1" t="s">
        <v>2587</v>
      </c>
      <c r="C792" s="1" t="str">
        <f>"9781292022055"</f>
        <v>9781292022055</v>
      </c>
      <c r="D792" s="1" t="str">
        <f>"9781292035260"</f>
        <v>9781292035260</v>
      </c>
      <c r="E792" s="1" t="s">
        <v>52</v>
      </c>
      <c r="F792" s="1" t="s">
        <v>40</v>
      </c>
      <c r="G792" s="3">
        <v>41513</v>
      </c>
      <c r="H792" s="3">
        <v>1</v>
      </c>
      <c r="I792" s="1" t="s">
        <v>41</v>
      </c>
      <c r="J792" s="1">
        <v>2</v>
      </c>
      <c r="L792" s="1" t="s">
        <v>2588</v>
      </c>
      <c r="Q792" s="1" t="s">
        <v>46</v>
      </c>
      <c r="R792" s="1" t="s">
        <v>47</v>
      </c>
      <c r="S792" s="1" t="s">
        <v>47</v>
      </c>
      <c r="T792" s="1" t="s">
        <v>48</v>
      </c>
      <c r="U792" s="1" t="s">
        <v>47</v>
      </c>
      <c r="V792" s="1" t="s">
        <v>47</v>
      </c>
      <c r="W792" s="1" t="s">
        <v>47</v>
      </c>
      <c r="Z792" s="1">
        <v>0</v>
      </c>
      <c r="AB792" s="1" t="s">
        <v>47</v>
      </c>
      <c r="AD792" s="1">
        <v>527024</v>
      </c>
      <c r="AF792" s="1" t="s">
        <v>47</v>
      </c>
      <c r="AG792" s="1" t="s">
        <v>47</v>
      </c>
      <c r="AH792" s="1" t="s">
        <v>49</v>
      </c>
      <c r="AI792" s="1" t="s">
        <v>47</v>
      </c>
      <c r="AK792" s="1" t="s">
        <v>48</v>
      </c>
      <c r="AL792" s="1" t="s">
        <v>2589</v>
      </c>
    </row>
    <row r="793" spans="1:38">
      <c r="A793" s="1">
        <v>5138979</v>
      </c>
      <c r="B793" s="1" t="s">
        <v>2590</v>
      </c>
      <c r="C793" s="1" t="str">
        <f>"9781292024851"</f>
        <v>9781292024851</v>
      </c>
      <c r="D793" s="1" t="str">
        <f>"9781292037516"</f>
        <v>9781292037516</v>
      </c>
      <c r="E793" s="1" t="s">
        <v>52</v>
      </c>
      <c r="F793" s="1" t="s">
        <v>40</v>
      </c>
      <c r="G793" s="3">
        <v>41515</v>
      </c>
      <c r="H793" s="3">
        <v>1</v>
      </c>
      <c r="I793" s="1" t="s">
        <v>41</v>
      </c>
      <c r="J793" s="1">
        <v>5</v>
      </c>
      <c r="L793" s="1" t="s">
        <v>2591</v>
      </c>
      <c r="Q793" s="1" t="s">
        <v>46</v>
      </c>
      <c r="R793" s="1" t="s">
        <v>47</v>
      </c>
      <c r="S793" s="1" t="s">
        <v>47</v>
      </c>
      <c r="T793" s="1" t="s">
        <v>48</v>
      </c>
      <c r="U793" s="1" t="s">
        <v>47</v>
      </c>
      <c r="V793" s="1" t="s">
        <v>47</v>
      </c>
      <c r="W793" s="1" t="s">
        <v>47</v>
      </c>
      <c r="Z793" s="1">
        <v>0</v>
      </c>
      <c r="AB793" s="1" t="s">
        <v>47</v>
      </c>
      <c r="AD793" s="1">
        <v>527419</v>
      </c>
      <c r="AF793" s="1" t="s">
        <v>47</v>
      </c>
      <c r="AG793" s="1" t="s">
        <v>47</v>
      </c>
      <c r="AH793" s="1" t="s">
        <v>49</v>
      </c>
      <c r="AI793" s="1" t="s">
        <v>47</v>
      </c>
      <c r="AK793" s="1" t="s">
        <v>48</v>
      </c>
      <c r="AL793" s="1" t="s">
        <v>2592</v>
      </c>
    </row>
    <row r="794" spans="1:38">
      <c r="A794" s="1">
        <v>5138981</v>
      </c>
      <c r="B794" s="1" t="s">
        <v>2593</v>
      </c>
      <c r="C794" s="1" t="str">
        <f>"9780273732037"</f>
        <v>9780273732037</v>
      </c>
      <c r="D794" s="1" t="str">
        <f>"9780273732181"</f>
        <v>9780273732181</v>
      </c>
      <c r="E794" s="1" t="s">
        <v>52</v>
      </c>
      <c r="F794" s="1" t="s">
        <v>40</v>
      </c>
      <c r="G794" s="3">
        <v>41333</v>
      </c>
      <c r="H794" s="3">
        <v>1</v>
      </c>
      <c r="I794" s="1" t="s">
        <v>41</v>
      </c>
      <c r="J794" s="1">
        <v>3</v>
      </c>
      <c r="L794" s="1" t="s">
        <v>2594</v>
      </c>
      <c r="M794" s="1" t="s">
        <v>256</v>
      </c>
      <c r="N794" s="1" t="s">
        <v>2595</v>
      </c>
      <c r="O794" s="1">
        <v>338.40679999999998</v>
      </c>
      <c r="Q794" s="1" t="s">
        <v>46</v>
      </c>
      <c r="R794" s="1" t="s">
        <v>47</v>
      </c>
      <c r="S794" s="1" t="s">
        <v>47</v>
      </c>
      <c r="T794" s="1" t="s">
        <v>48</v>
      </c>
      <c r="U794" s="1" t="s">
        <v>47</v>
      </c>
      <c r="V794" s="1" t="s">
        <v>47</v>
      </c>
      <c r="W794" s="1" t="s">
        <v>47</v>
      </c>
      <c r="Z794" s="1">
        <v>0</v>
      </c>
      <c r="AB794" s="1" t="s">
        <v>47</v>
      </c>
      <c r="AD794" s="1">
        <v>459590</v>
      </c>
      <c r="AF794" s="1" t="s">
        <v>47</v>
      </c>
      <c r="AG794" s="1" t="s">
        <v>47</v>
      </c>
      <c r="AH794" s="1" t="s">
        <v>49</v>
      </c>
      <c r="AI794" s="1" t="s">
        <v>47</v>
      </c>
      <c r="AK794" s="1" t="s">
        <v>48</v>
      </c>
      <c r="AL794" s="1" t="s">
        <v>2596</v>
      </c>
    </row>
    <row r="795" spans="1:38">
      <c r="A795" s="1">
        <v>5138982</v>
      </c>
      <c r="B795" s="1" t="s">
        <v>2597</v>
      </c>
      <c r="C795" s="1" t="str">
        <f>"9781292042688"</f>
        <v>9781292042688</v>
      </c>
      <c r="D795" s="1" t="str">
        <f>"9781292055848"</f>
        <v>9781292055848</v>
      </c>
      <c r="E795" s="1" t="s">
        <v>52</v>
      </c>
      <c r="F795" s="1" t="s">
        <v>40</v>
      </c>
      <c r="G795" s="3">
        <v>41579</v>
      </c>
      <c r="H795" s="3">
        <v>1</v>
      </c>
      <c r="I795" s="1" t="s">
        <v>41</v>
      </c>
      <c r="J795" s="1">
        <v>1</v>
      </c>
      <c r="L795" s="1" t="s">
        <v>2598</v>
      </c>
      <c r="M795" s="1" t="s">
        <v>242</v>
      </c>
      <c r="O795" s="1">
        <v>515</v>
      </c>
      <c r="Q795" s="1" t="s">
        <v>46</v>
      </c>
      <c r="R795" s="1" t="s">
        <v>47</v>
      </c>
      <c r="S795" s="1" t="s">
        <v>47</v>
      </c>
      <c r="T795" s="1" t="s">
        <v>48</v>
      </c>
      <c r="U795" s="1" t="s">
        <v>47</v>
      </c>
      <c r="V795" s="1" t="s">
        <v>47</v>
      </c>
      <c r="W795" s="1" t="s">
        <v>47</v>
      </c>
      <c r="Z795" s="1">
        <v>0</v>
      </c>
      <c r="AB795" s="1" t="s">
        <v>47</v>
      </c>
      <c r="AD795" s="1">
        <v>543401</v>
      </c>
      <c r="AF795" s="1" t="s">
        <v>47</v>
      </c>
      <c r="AG795" s="1" t="s">
        <v>47</v>
      </c>
      <c r="AH795" s="1" t="s">
        <v>49</v>
      </c>
      <c r="AI795" s="1" t="s">
        <v>47</v>
      </c>
      <c r="AK795" s="1" t="s">
        <v>48</v>
      </c>
      <c r="AL795" s="1" t="s">
        <v>2599</v>
      </c>
    </row>
    <row r="796" spans="1:38">
      <c r="A796" s="1">
        <v>5138989</v>
      </c>
      <c r="B796" s="1" t="s">
        <v>2600</v>
      </c>
      <c r="C796" s="1" t="str">
        <f>"9781292026077"</f>
        <v>9781292026077</v>
      </c>
      <c r="D796" s="1" t="str">
        <f>"9781292038483"</f>
        <v>9781292038483</v>
      </c>
      <c r="E796" s="1" t="s">
        <v>52</v>
      </c>
      <c r="F796" s="1" t="s">
        <v>40</v>
      </c>
      <c r="G796" s="3">
        <v>41481</v>
      </c>
      <c r="H796" s="3">
        <v>1</v>
      </c>
      <c r="I796" s="1" t="s">
        <v>41</v>
      </c>
      <c r="J796" s="1">
        <v>8</v>
      </c>
      <c r="L796" s="1" t="s">
        <v>2601</v>
      </c>
      <c r="M796" s="1" t="s">
        <v>1729</v>
      </c>
      <c r="O796" s="1">
        <v>628.1</v>
      </c>
      <c r="Q796" s="1" t="s">
        <v>46</v>
      </c>
      <c r="R796" s="1" t="s">
        <v>47</v>
      </c>
      <c r="S796" s="1" t="s">
        <v>47</v>
      </c>
      <c r="T796" s="1" t="s">
        <v>48</v>
      </c>
      <c r="U796" s="1" t="s">
        <v>47</v>
      </c>
      <c r="V796" s="1" t="s">
        <v>47</v>
      </c>
      <c r="W796" s="1" t="s">
        <v>47</v>
      </c>
      <c r="Z796" s="1">
        <v>0</v>
      </c>
      <c r="AB796" s="1" t="s">
        <v>47</v>
      </c>
      <c r="AD796" s="1">
        <v>527177</v>
      </c>
      <c r="AF796" s="1" t="s">
        <v>47</v>
      </c>
      <c r="AG796" s="1" t="s">
        <v>47</v>
      </c>
      <c r="AH796" s="1" t="s">
        <v>49</v>
      </c>
      <c r="AI796" s="1" t="s">
        <v>47</v>
      </c>
      <c r="AK796" s="1" t="s">
        <v>48</v>
      </c>
      <c r="AL796" s="1" t="s">
        <v>2602</v>
      </c>
    </row>
    <row r="797" spans="1:38">
      <c r="A797" s="1">
        <v>5138991</v>
      </c>
      <c r="B797" s="1" t="s">
        <v>2603</v>
      </c>
      <c r="C797" s="1" t="str">
        <f>"9781292025230"</f>
        <v>9781292025230</v>
      </c>
      <c r="D797" s="1" t="str">
        <f>"9781292037806"</f>
        <v>9781292037806</v>
      </c>
      <c r="E797" s="1" t="s">
        <v>52</v>
      </c>
      <c r="F797" s="1" t="s">
        <v>40</v>
      </c>
      <c r="G797" s="3">
        <v>41484</v>
      </c>
      <c r="H797" s="3">
        <v>1</v>
      </c>
      <c r="I797" s="1" t="s">
        <v>41</v>
      </c>
      <c r="J797" s="1">
        <v>11</v>
      </c>
      <c r="L797" s="1" t="s">
        <v>2604</v>
      </c>
      <c r="M797" s="1" t="s">
        <v>372</v>
      </c>
      <c r="O797" s="1">
        <v>302.23</v>
      </c>
      <c r="Q797" s="1" t="s">
        <v>46</v>
      </c>
      <c r="R797" s="1" t="s">
        <v>47</v>
      </c>
      <c r="S797" s="1" t="s">
        <v>47</v>
      </c>
      <c r="T797" s="1" t="s">
        <v>48</v>
      </c>
      <c r="U797" s="1" t="s">
        <v>47</v>
      </c>
      <c r="V797" s="1" t="s">
        <v>47</v>
      </c>
      <c r="W797" s="1" t="s">
        <v>47</v>
      </c>
      <c r="Z797" s="1">
        <v>0</v>
      </c>
      <c r="AB797" s="1" t="s">
        <v>47</v>
      </c>
      <c r="AD797" s="1">
        <v>527417</v>
      </c>
      <c r="AF797" s="1" t="s">
        <v>47</v>
      </c>
      <c r="AG797" s="1" t="s">
        <v>47</v>
      </c>
      <c r="AH797" s="1" t="s">
        <v>49</v>
      </c>
      <c r="AI797" s="1" t="s">
        <v>47</v>
      </c>
      <c r="AK797" s="1" t="s">
        <v>48</v>
      </c>
      <c r="AL797" s="1" t="s">
        <v>2605</v>
      </c>
    </row>
    <row r="798" spans="1:38">
      <c r="A798" s="1">
        <v>5138992</v>
      </c>
      <c r="B798" s="1" t="s">
        <v>2606</v>
      </c>
      <c r="C798" s="1" t="str">
        <f>"9781292027104"</f>
        <v>9781292027104</v>
      </c>
      <c r="D798" s="1" t="str">
        <f>"9781292055879"</f>
        <v>9781292055879</v>
      </c>
      <c r="E798" s="1" t="s">
        <v>52</v>
      </c>
      <c r="F798" s="1" t="s">
        <v>40</v>
      </c>
      <c r="G798" s="3">
        <v>41579</v>
      </c>
      <c r="H798" s="3">
        <v>1</v>
      </c>
      <c r="I798" s="1" t="s">
        <v>41</v>
      </c>
      <c r="J798" s="1">
        <v>2</v>
      </c>
      <c r="L798" s="1" t="s">
        <v>2607</v>
      </c>
      <c r="M798" s="1" t="s">
        <v>1191</v>
      </c>
      <c r="O798" s="1">
        <v>620.00419999999997</v>
      </c>
      <c r="Q798" s="1" t="s">
        <v>46</v>
      </c>
      <c r="R798" s="1" t="s">
        <v>47</v>
      </c>
      <c r="S798" s="1" t="s">
        <v>47</v>
      </c>
      <c r="T798" s="1" t="s">
        <v>48</v>
      </c>
      <c r="U798" s="1" t="s">
        <v>47</v>
      </c>
      <c r="V798" s="1" t="s">
        <v>47</v>
      </c>
      <c r="W798" s="1" t="s">
        <v>47</v>
      </c>
      <c r="Z798" s="1">
        <v>0</v>
      </c>
      <c r="AB798" s="1" t="s">
        <v>47</v>
      </c>
      <c r="AD798" s="1">
        <v>543424</v>
      </c>
      <c r="AF798" s="1" t="s">
        <v>47</v>
      </c>
      <c r="AG798" s="1" t="s">
        <v>47</v>
      </c>
      <c r="AH798" s="1" t="s">
        <v>49</v>
      </c>
      <c r="AI798" s="1" t="s">
        <v>47</v>
      </c>
      <c r="AK798" s="1" t="s">
        <v>48</v>
      </c>
      <c r="AL798" s="1" t="s">
        <v>2608</v>
      </c>
    </row>
    <row r="799" spans="1:38">
      <c r="A799" s="1">
        <v>5138993</v>
      </c>
      <c r="B799" s="1" t="s">
        <v>2609</v>
      </c>
      <c r="C799" s="1" t="str">
        <f>"9781292042022"</f>
        <v>9781292042022</v>
      </c>
      <c r="D799" s="1" t="str">
        <f>"9781292055886"</f>
        <v>9781292055886</v>
      </c>
      <c r="E799" s="1" t="s">
        <v>52</v>
      </c>
      <c r="F799" s="1" t="s">
        <v>40</v>
      </c>
      <c r="G799" s="3">
        <v>41579</v>
      </c>
      <c r="H799" s="3">
        <v>1</v>
      </c>
      <c r="I799" s="1" t="s">
        <v>41</v>
      </c>
      <c r="J799" s="1">
        <v>3</v>
      </c>
      <c r="L799" s="1" t="s">
        <v>2610</v>
      </c>
      <c r="M799" s="1" t="s">
        <v>54</v>
      </c>
      <c r="O799" s="1">
        <v>372.6</v>
      </c>
      <c r="Q799" s="1" t="s">
        <v>46</v>
      </c>
      <c r="R799" s="1" t="s">
        <v>47</v>
      </c>
      <c r="S799" s="1" t="s">
        <v>47</v>
      </c>
      <c r="T799" s="1" t="s">
        <v>48</v>
      </c>
      <c r="U799" s="1" t="s">
        <v>47</v>
      </c>
      <c r="V799" s="1" t="s">
        <v>47</v>
      </c>
      <c r="W799" s="1" t="s">
        <v>47</v>
      </c>
      <c r="Z799" s="1">
        <v>0</v>
      </c>
      <c r="AB799" s="1" t="s">
        <v>47</v>
      </c>
      <c r="AD799" s="1">
        <v>543413</v>
      </c>
      <c r="AF799" s="1" t="s">
        <v>47</v>
      </c>
      <c r="AG799" s="1" t="s">
        <v>47</v>
      </c>
      <c r="AH799" s="1" t="s">
        <v>49</v>
      </c>
      <c r="AI799" s="1" t="s">
        <v>47</v>
      </c>
      <c r="AK799" s="1" t="s">
        <v>48</v>
      </c>
      <c r="AL799" s="1" t="s">
        <v>2611</v>
      </c>
    </row>
    <row r="800" spans="1:38">
      <c r="A800" s="1">
        <v>5138996</v>
      </c>
      <c r="B800" s="1" t="s">
        <v>2612</v>
      </c>
      <c r="C800" s="1" t="str">
        <f>"9781292022376"</f>
        <v>9781292022376</v>
      </c>
      <c r="D800" s="1" t="str">
        <f>"9781292035574"</f>
        <v>9781292035574</v>
      </c>
      <c r="E800" s="1" t="s">
        <v>52</v>
      </c>
      <c r="F800" s="1" t="s">
        <v>40</v>
      </c>
      <c r="G800" s="3">
        <v>41478</v>
      </c>
      <c r="H800" s="3">
        <v>1</v>
      </c>
      <c r="I800" s="1" t="s">
        <v>41</v>
      </c>
      <c r="J800" s="1">
        <v>8</v>
      </c>
      <c r="L800" s="1" t="s">
        <v>2613</v>
      </c>
      <c r="M800" s="1" t="s">
        <v>176</v>
      </c>
      <c r="O800" s="1">
        <v>454</v>
      </c>
      <c r="Q800" s="1" t="s">
        <v>46</v>
      </c>
      <c r="R800" s="1" t="s">
        <v>47</v>
      </c>
      <c r="S800" s="1" t="s">
        <v>47</v>
      </c>
      <c r="T800" s="1" t="s">
        <v>48</v>
      </c>
      <c r="U800" s="1" t="s">
        <v>47</v>
      </c>
      <c r="V800" s="1" t="s">
        <v>47</v>
      </c>
      <c r="W800" s="1" t="s">
        <v>47</v>
      </c>
      <c r="Z800" s="1">
        <v>0</v>
      </c>
      <c r="AB800" s="1" t="s">
        <v>47</v>
      </c>
      <c r="AD800" s="1">
        <v>527020</v>
      </c>
      <c r="AF800" s="1" t="s">
        <v>47</v>
      </c>
      <c r="AG800" s="1" t="s">
        <v>47</v>
      </c>
      <c r="AH800" s="1" t="s">
        <v>49</v>
      </c>
      <c r="AI800" s="1" t="s">
        <v>47</v>
      </c>
      <c r="AK800" s="1" t="s">
        <v>48</v>
      </c>
      <c r="AL800" s="1" t="s">
        <v>2614</v>
      </c>
    </row>
    <row r="801" spans="1:38">
      <c r="A801" s="1">
        <v>5139004</v>
      </c>
      <c r="B801" s="1" t="s">
        <v>2615</v>
      </c>
      <c r="C801" s="1" t="str">
        <f>"9781292027364"</f>
        <v>9781292027364</v>
      </c>
      <c r="D801" s="1" t="str">
        <f>"9781292055923"</f>
        <v>9781292055923</v>
      </c>
      <c r="E801" s="1" t="s">
        <v>52</v>
      </c>
      <c r="F801" s="1" t="s">
        <v>40</v>
      </c>
      <c r="G801" s="3">
        <v>41547</v>
      </c>
      <c r="H801" s="3">
        <v>1</v>
      </c>
      <c r="I801" s="1" t="s">
        <v>41</v>
      </c>
      <c r="J801" s="1">
        <v>8</v>
      </c>
      <c r="L801" s="1" t="s">
        <v>2616</v>
      </c>
      <c r="M801" s="1" t="s">
        <v>1191</v>
      </c>
      <c r="O801" s="1">
        <v>620.1</v>
      </c>
      <c r="Q801" s="1" t="s">
        <v>46</v>
      </c>
      <c r="R801" s="1" t="s">
        <v>47</v>
      </c>
      <c r="S801" s="1" t="s">
        <v>47</v>
      </c>
      <c r="T801" s="1" t="s">
        <v>48</v>
      </c>
      <c r="U801" s="1" t="s">
        <v>47</v>
      </c>
      <c r="V801" s="1" t="s">
        <v>47</v>
      </c>
      <c r="W801" s="1" t="s">
        <v>47</v>
      </c>
      <c r="Z801" s="1">
        <v>0</v>
      </c>
      <c r="AB801" s="1" t="s">
        <v>47</v>
      </c>
      <c r="AD801" s="1">
        <v>543323</v>
      </c>
      <c r="AF801" s="1" t="s">
        <v>47</v>
      </c>
      <c r="AG801" s="1" t="s">
        <v>47</v>
      </c>
      <c r="AH801" s="1" t="s">
        <v>49</v>
      </c>
      <c r="AI801" s="1" t="s">
        <v>47</v>
      </c>
      <c r="AK801" s="1" t="s">
        <v>48</v>
      </c>
      <c r="AL801" s="1" t="s">
        <v>2617</v>
      </c>
    </row>
    <row r="802" spans="1:38">
      <c r="A802" s="1">
        <v>5139007</v>
      </c>
      <c r="B802" s="1" t="s">
        <v>2618</v>
      </c>
      <c r="C802" s="1" t="str">
        <f>"9780273776031"</f>
        <v>9780273776031</v>
      </c>
      <c r="D802" s="1" t="str">
        <f>"9780273776055"</f>
        <v>9780273776055</v>
      </c>
      <c r="E802" s="1" t="s">
        <v>52</v>
      </c>
      <c r="F802" s="1" t="s">
        <v>40</v>
      </c>
      <c r="G802" s="3">
        <v>41487</v>
      </c>
      <c r="H802" s="3">
        <v>1</v>
      </c>
      <c r="I802" s="1" t="s">
        <v>41</v>
      </c>
      <c r="J802" s="1">
        <v>1</v>
      </c>
      <c r="L802" s="1" t="s">
        <v>2619</v>
      </c>
      <c r="M802" s="1" t="s">
        <v>256</v>
      </c>
      <c r="N802" s="1" t="s">
        <v>2620</v>
      </c>
      <c r="O802" s="1">
        <v>338.5</v>
      </c>
      <c r="P802" s="1" t="s">
        <v>2621</v>
      </c>
      <c r="Q802" s="1" t="s">
        <v>46</v>
      </c>
      <c r="R802" s="1" t="s">
        <v>47</v>
      </c>
      <c r="S802" s="1" t="s">
        <v>47</v>
      </c>
      <c r="T802" s="1" t="s">
        <v>48</v>
      </c>
      <c r="U802" s="1" t="s">
        <v>47</v>
      </c>
      <c r="V802" s="1" t="s">
        <v>47</v>
      </c>
      <c r="W802" s="1" t="s">
        <v>47</v>
      </c>
      <c r="Z802" s="1">
        <v>0</v>
      </c>
      <c r="AB802" s="1" t="s">
        <v>47</v>
      </c>
      <c r="AD802" s="1">
        <v>511595</v>
      </c>
      <c r="AF802" s="1" t="s">
        <v>47</v>
      </c>
      <c r="AG802" s="1" t="s">
        <v>47</v>
      </c>
      <c r="AH802" s="1" t="s">
        <v>49</v>
      </c>
      <c r="AI802" s="1" t="s">
        <v>47</v>
      </c>
      <c r="AK802" s="1" t="s">
        <v>48</v>
      </c>
      <c r="AL802" s="1" t="s">
        <v>2622</v>
      </c>
    </row>
    <row r="803" spans="1:38">
      <c r="A803" s="1">
        <v>5139008</v>
      </c>
      <c r="B803" s="1" t="s">
        <v>2623</v>
      </c>
      <c r="C803" s="1" t="str">
        <f>"9780273776130"</f>
        <v>9780273776130</v>
      </c>
      <c r="D803" s="1" t="str">
        <f>"9780273776154"</f>
        <v>9780273776154</v>
      </c>
      <c r="E803" s="1" t="s">
        <v>52</v>
      </c>
      <c r="F803" s="1" t="s">
        <v>40</v>
      </c>
      <c r="G803" s="3">
        <v>41494</v>
      </c>
      <c r="H803" s="3">
        <v>1</v>
      </c>
      <c r="I803" s="1" t="s">
        <v>41</v>
      </c>
      <c r="J803" s="1">
        <v>1</v>
      </c>
      <c r="L803" s="1" t="s">
        <v>2619</v>
      </c>
      <c r="M803" s="1" t="s">
        <v>2624</v>
      </c>
      <c r="N803" s="1" t="s">
        <v>2625</v>
      </c>
      <c r="O803" s="1">
        <v>333.7</v>
      </c>
      <c r="P803" s="1" t="s">
        <v>2626</v>
      </c>
      <c r="Q803" s="1" t="s">
        <v>46</v>
      </c>
      <c r="R803" s="1" t="s">
        <v>47</v>
      </c>
      <c r="S803" s="1" t="s">
        <v>47</v>
      </c>
      <c r="T803" s="1" t="s">
        <v>48</v>
      </c>
      <c r="U803" s="1" t="s">
        <v>47</v>
      </c>
      <c r="V803" s="1" t="s">
        <v>47</v>
      </c>
      <c r="W803" s="1" t="s">
        <v>47</v>
      </c>
      <c r="Z803" s="1">
        <v>0</v>
      </c>
      <c r="AB803" s="1" t="s">
        <v>47</v>
      </c>
      <c r="AD803" s="1">
        <v>511603</v>
      </c>
      <c r="AF803" s="1" t="s">
        <v>47</v>
      </c>
      <c r="AG803" s="1" t="s">
        <v>47</v>
      </c>
      <c r="AH803" s="1" t="s">
        <v>49</v>
      </c>
      <c r="AI803" s="1" t="s">
        <v>47</v>
      </c>
      <c r="AK803" s="1" t="s">
        <v>48</v>
      </c>
      <c r="AL803" s="1" t="s">
        <v>2627</v>
      </c>
    </row>
    <row r="804" spans="1:38">
      <c r="A804" s="1">
        <v>5139012</v>
      </c>
      <c r="B804" s="1" t="s">
        <v>2628</v>
      </c>
      <c r="C804" s="1" t="str">
        <f>"9781292027425"</f>
        <v>9781292027425</v>
      </c>
      <c r="D804" s="1" t="str">
        <f>"9781292055954"</f>
        <v>9781292055954</v>
      </c>
      <c r="E804" s="1" t="s">
        <v>52</v>
      </c>
      <c r="F804" s="1" t="s">
        <v>40</v>
      </c>
      <c r="G804" s="3">
        <v>41579</v>
      </c>
      <c r="H804" s="3">
        <v>1</v>
      </c>
      <c r="I804" s="1" t="s">
        <v>41</v>
      </c>
      <c r="J804" s="1">
        <v>3</v>
      </c>
      <c r="L804" s="1" t="s">
        <v>2629</v>
      </c>
      <c r="M804" s="1" t="s">
        <v>468</v>
      </c>
      <c r="O804" s="1">
        <v>170</v>
      </c>
      <c r="Q804" s="1" t="s">
        <v>46</v>
      </c>
      <c r="R804" s="1" t="s">
        <v>47</v>
      </c>
      <c r="S804" s="1" t="s">
        <v>47</v>
      </c>
      <c r="T804" s="1" t="s">
        <v>48</v>
      </c>
      <c r="U804" s="1" t="s">
        <v>47</v>
      </c>
      <c r="V804" s="1" t="s">
        <v>47</v>
      </c>
      <c r="W804" s="1" t="s">
        <v>47</v>
      </c>
      <c r="Z804" s="1">
        <v>0</v>
      </c>
      <c r="AB804" s="1" t="s">
        <v>47</v>
      </c>
      <c r="AD804" s="1">
        <v>543645</v>
      </c>
      <c r="AF804" s="1" t="s">
        <v>47</v>
      </c>
      <c r="AG804" s="1" t="s">
        <v>47</v>
      </c>
      <c r="AH804" s="1" t="s">
        <v>49</v>
      </c>
      <c r="AI804" s="1" t="s">
        <v>47</v>
      </c>
      <c r="AK804" s="1" t="s">
        <v>48</v>
      </c>
      <c r="AL804" s="1" t="s">
        <v>2630</v>
      </c>
    </row>
    <row r="805" spans="1:38">
      <c r="A805" s="1">
        <v>5139013</v>
      </c>
      <c r="B805" s="1" t="s">
        <v>2631</v>
      </c>
      <c r="C805" s="1" t="str">
        <f>"9781292023922"</f>
        <v>9781292023922</v>
      </c>
      <c r="D805" s="1" t="str">
        <f>"9781292037035"</f>
        <v>9781292037035</v>
      </c>
      <c r="E805" s="1" t="s">
        <v>52</v>
      </c>
      <c r="F805" s="1" t="s">
        <v>40</v>
      </c>
      <c r="G805" s="3">
        <v>41515</v>
      </c>
      <c r="H805" s="3">
        <v>1</v>
      </c>
      <c r="I805" s="1" t="s">
        <v>41</v>
      </c>
      <c r="J805" s="1">
        <v>9</v>
      </c>
      <c r="L805" s="1" t="s">
        <v>2632</v>
      </c>
      <c r="Q805" s="1" t="s">
        <v>46</v>
      </c>
      <c r="R805" s="1" t="s">
        <v>47</v>
      </c>
      <c r="S805" s="1" t="s">
        <v>47</v>
      </c>
      <c r="T805" s="1" t="s">
        <v>48</v>
      </c>
      <c r="U805" s="1" t="s">
        <v>47</v>
      </c>
      <c r="V805" s="1" t="s">
        <v>47</v>
      </c>
      <c r="W805" s="1" t="s">
        <v>47</v>
      </c>
      <c r="Z805" s="1">
        <v>0</v>
      </c>
      <c r="AB805" s="1" t="s">
        <v>47</v>
      </c>
      <c r="AD805" s="1">
        <v>527167</v>
      </c>
      <c r="AF805" s="1" t="s">
        <v>47</v>
      </c>
      <c r="AG805" s="1" t="s">
        <v>47</v>
      </c>
      <c r="AH805" s="1" t="s">
        <v>49</v>
      </c>
      <c r="AI805" s="1" t="s">
        <v>47</v>
      </c>
      <c r="AK805" s="1" t="s">
        <v>48</v>
      </c>
      <c r="AL805" s="1" t="s">
        <v>2633</v>
      </c>
    </row>
    <row r="806" spans="1:38">
      <c r="A806" s="1">
        <v>5139015</v>
      </c>
      <c r="B806" s="1" t="s">
        <v>2634</v>
      </c>
      <c r="C806" s="1" t="str">
        <f>"9781292022536"</f>
        <v>9781292022536</v>
      </c>
      <c r="D806" s="1" t="str">
        <f>"9781292035734"</f>
        <v>9781292035734</v>
      </c>
      <c r="E806" s="1" t="s">
        <v>52</v>
      </c>
      <c r="F806" s="1" t="s">
        <v>40</v>
      </c>
      <c r="G806" s="3">
        <v>41502</v>
      </c>
      <c r="H806" s="3">
        <v>1</v>
      </c>
      <c r="I806" s="1" t="s">
        <v>41</v>
      </c>
      <c r="J806" s="1">
        <v>1</v>
      </c>
      <c r="L806" s="1" t="s">
        <v>2635</v>
      </c>
      <c r="M806" s="1" t="s">
        <v>242</v>
      </c>
      <c r="O806" s="1">
        <v>519.02462000000003</v>
      </c>
      <c r="Q806" s="1" t="s">
        <v>46</v>
      </c>
      <c r="R806" s="1" t="s">
        <v>47</v>
      </c>
      <c r="S806" s="1" t="s">
        <v>47</v>
      </c>
      <c r="T806" s="1" t="s">
        <v>48</v>
      </c>
      <c r="U806" s="1" t="s">
        <v>47</v>
      </c>
      <c r="V806" s="1" t="s">
        <v>47</v>
      </c>
      <c r="W806" s="1" t="s">
        <v>47</v>
      </c>
      <c r="Z806" s="1">
        <v>0</v>
      </c>
      <c r="AB806" s="1" t="s">
        <v>47</v>
      </c>
      <c r="AD806" s="1">
        <v>526999</v>
      </c>
      <c r="AF806" s="1" t="s">
        <v>47</v>
      </c>
      <c r="AG806" s="1" t="s">
        <v>47</v>
      </c>
      <c r="AH806" s="1" t="s">
        <v>49</v>
      </c>
      <c r="AI806" s="1" t="s">
        <v>47</v>
      </c>
      <c r="AK806" s="1" t="s">
        <v>48</v>
      </c>
      <c r="AL806" s="1" t="s">
        <v>2636</v>
      </c>
    </row>
    <row r="807" spans="1:38">
      <c r="A807" s="1">
        <v>5139018</v>
      </c>
      <c r="B807" s="1" t="s">
        <v>2637</v>
      </c>
      <c r="C807" s="1" t="str">
        <f>"9781408224564"</f>
        <v>9781408224564</v>
      </c>
      <c r="D807" s="1" t="str">
        <f>"9781408224625"</f>
        <v>9781408224625</v>
      </c>
      <c r="E807" s="1" t="s">
        <v>52</v>
      </c>
      <c r="F807" s="1" t="s">
        <v>195</v>
      </c>
      <c r="G807" s="3">
        <v>40619</v>
      </c>
      <c r="H807" s="3">
        <v>1</v>
      </c>
      <c r="I807" s="1" t="s">
        <v>41</v>
      </c>
      <c r="J807" s="1">
        <v>1</v>
      </c>
      <c r="L807" s="1" t="s">
        <v>2638</v>
      </c>
      <c r="M807" s="1" t="s">
        <v>162</v>
      </c>
      <c r="O807" s="1">
        <v>346.42003999999997</v>
      </c>
      <c r="P807" s="1" t="s">
        <v>2639</v>
      </c>
      <c r="Q807" s="1" t="s">
        <v>46</v>
      </c>
      <c r="R807" s="1" t="s">
        <v>47</v>
      </c>
      <c r="S807" s="1" t="s">
        <v>47</v>
      </c>
      <c r="T807" s="1" t="s">
        <v>48</v>
      </c>
      <c r="U807" s="1" t="s">
        <v>47</v>
      </c>
      <c r="V807" s="1" t="s">
        <v>47</v>
      </c>
      <c r="W807" s="1" t="s">
        <v>47</v>
      </c>
      <c r="Z807" s="1">
        <v>0</v>
      </c>
      <c r="AB807" s="1" t="s">
        <v>47</v>
      </c>
      <c r="AD807" s="1">
        <v>317351</v>
      </c>
      <c r="AF807" s="1" t="s">
        <v>47</v>
      </c>
      <c r="AG807" s="1" t="s">
        <v>47</v>
      </c>
      <c r="AH807" s="1" t="s">
        <v>49</v>
      </c>
      <c r="AI807" s="1" t="s">
        <v>47</v>
      </c>
      <c r="AK807" s="1" t="s">
        <v>48</v>
      </c>
      <c r="AL807" s="1" t="s">
        <v>2640</v>
      </c>
    </row>
    <row r="808" spans="1:38">
      <c r="A808" s="1">
        <v>5139019</v>
      </c>
      <c r="B808" s="1" t="s">
        <v>2641</v>
      </c>
      <c r="C808" s="1" t="str">
        <f>"9781408219126"</f>
        <v>9781408219126</v>
      </c>
      <c r="D808" s="1" t="str">
        <f>"9781408219140"</f>
        <v>9781408219140</v>
      </c>
      <c r="E808" s="1" t="s">
        <v>52</v>
      </c>
      <c r="F808" s="1" t="s">
        <v>40</v>
      </c>
      <c r="G808" s="3">
        <v>41410</v>
      </c>
      <c r="H808" s="3">
        <v>1</v>
      </c>
      <c r="I808" s="1" t="s">
        <v>41</v>
      </c>
      <c r="J808" s="1">
        <v>1</v>
      </c>
      <c r="L808" s="1" t="s">
        <v>2638</v>
      </c>
      <c r="M808" s="1" t="s">
        <v>162</v>
      </c>
      <c r="O808" s="1">
        <v>346.42043000000001</v>
      </c>
      <c r="P808" s="1" t="s">
        <v>2642</v>
      </c>
      <c r="Q808" s="1" t="s">
        <v>46</v>
      </c>
      <c r="R808" s="1" t="s">
        <v>47</v>
      </c>
      <c r="S808" s="1" t="s">
        <v>47</v>
      </c>
      <c r="T808" s="1" t="s">
        <v>48</v>
      </c>
      <c r="U808" s="1" t="s">
        <v>47</v>
      </c>
      <c r="V808" s="1" t="s">
        <v>47</v>
      </c>
      <c r="W808" s="1" t="s">
        <v>47</v>
      </c>
      <c r="Z808" s="1">
        <v>0</v>
      </c>
      <c r="AB808" s="1" t="s">
        <v>47</v>
      </c>
      <c r="AD808" s="1">
        <v>492438</v>
      </c>
      <c r="AF808" s="1" t="s">
        <v>47</v>
      </c>
      <c r="AG808" s="1" t="s">
        <v>47</v>
      </c>
      <c r="AH808" s="1" t="s">
        <v>49</v>
      </c>
      <c r="AI808" s="1" t="s">
        <v>47</v>
      </c>
      <c r="AK808" s="1" t="s">
        <v>48</v>
      </c>
      <c r="AL808" s="1" t="s">
        <v>2643</v>
      </c>
    </row>
    <row r="809" spans="1:38">
      <c r="A809" s="1">
        <v>5139020</v>
      </c>
      <c r="B809" s="1" t="s">
        <v>2644</v>
      </c>
      <c r="C809" s="1" t="str">
        <f>"9781292022123"</f>
        <v>9781292022123</v>
      </c>
      <c r="D809" s="1" t="str">
        <f>"9781292035321"</f>
        <v>9781292035321</v>
      </c>
      <c r="E809" s="1" t="s">
        <v>52</v>
      </c>
      <c r="F809" s="1" t="s">
        <v>40</v>
      </c>
      <c r="G809" s="3">
        <v>41455</v>
      </c>
      <c r="H809" s="3">
        <v>1</v>
      </c>
      <c r="I809" s="1" t="s">
        <v>41</v>
      </c>
      <c r="J809" s="1">
        <v>10</v>
      </c>
      <c r="L809" s="1" t="s">
        <v>2645</v>
      </c>
      <c r="M809" s="1" t="s">
        <v>242</v>
      </c>
      <c r="O809" s="1">
        <v>510</v>
      </c>
      <c r="Q809" s="1" t="s">
        <v>46</v>
      </c>
      <c r="R809" s="1" t="s">
        <v>47</v>
      </c>
      <c r="S809" s="1" t="s">
        <v>47</v>
      </c>
      <c r="T809" s="1" t="s">
        <v>48</v>
      </c>
      <c r="U809" s="1" t="s">
        <v>47</v>
      </c>
      <c r="V809" s="1" t="s">
        <v>47</v>
      </c>
      <c r="W809" s="1" t="s">
        <v>47</v>
      </c>
      <c r="Z809" s="1">
        <v>0</v>
      </c>
      <c r="AB809" s="1" t="s">
        <v>47</v>
      </c>
      <c r="AD809" s="1">
        <v>527201</v>
      </c>
      <c r="AF809" s="1" t="s">
        <v>47</v>
      </c>
      <c r="AG809" s="1" t="s">
        <v>47</v>
      </c>
      <c r="AH809" s="1" t="s">
        <v>49</v>
      </c>
      <c r="AI809" s="1" t="s">
        <v>47</v>
      </c>
      <c r="AK809" s="1" t="s">
        <v>48</v>
      </c>
      <c r="AL809" s="1" t="s">
        <v>2646</v>
      </c>
    </row>
    <row r="810" spans="1:38">
      <c r="A810" s="1">
        <v>5139025</v>
      </c>
      <c r="B810" s="1" t="s">
        <v>2647</v>
      </c>
      <c r="C810" s="1" t="str">
        <f>"9780273776062"</f>
        <v>9780273776062</v>
      </c>
      <c r="D810" s="1" t="str">
        <f>"9780273776093"</f>
        <v>9780273776093</v>
      </c>
      <c r="E810" s="1" t="s">
        <v>52</v>
      </c>
      <c r="F810" s="1" t="s">
        <v>40</v>
      </c>
      <c r="G810" s="3">
        <v>41494</v>
      </c>
      <c r="H810" s="3">
        <v>1</v>
      </c>
      <c r="I810" s="1" t="s">
        <v>41</v>
      </c>
      <c r="J810" s="1">
        <v>1</v>
      </c>
      <c r="L810" s="1" t="s">
        <v>2648</v>
      </c>
      <c r="M810" s="1" t="s">
        <v>950</v>
      </c>
      <c r="N810" s="1" t="s">
        <v>2649</v>
      </c>
      <c r="O810" s="1">
        <v>332.04</v>
      </c>
      <c r="P810" s="1" t="s">
        <v>2650</v>
      </c>
      <c r="Q810" s="1" t="s">
        <v>46</v>
      </c>
      <c r="R810" s="1" t="s">
        <v>47</v>
      </c>
      <c r="S810" s="1" t="s">
        <v>47</v>
      </c>
      <c r="T810" s="1" t="s">
        <v>48</v>
      </c>
      <c r="U810" s="1" t="s">
        <v>47</v>
      </c>
      <c r="V810" s="1" t="s">
        <v>47</v>
      </c>
      <c r="W810" s="1" t="s">
        <v>47</v>
      </c>
      <c r="Z810" s="1">
        <v>0</v>
      </c>
      <c r="AB810" s="1" t="s">
        <v>47</v>
      </c>
      <c r="AD810" s="1">
        <v>511604</v>
      </c>
      <c r="AF810" s="1" t="s">
        <v>47</v>
      </c>
      <c r="AG810" s="1" t="s">
        <v>47</v>
      </c>
      <c r="AH810" s="1" t="s">
        <v>49</v>
      </c>
      <c r="AI810" s="1" t="s">
        <v>47</v>
      </c>
      <c r="AK810" s="1" t="s">
        <v>48</v>
      </c>
      <c r="AL810" s="1" t="s">
        <v>2651</v>
      </c>
    </row>
    <row r="811" spans="1:38">
      <c r="A811" s="1">
        <v>5139026</v>
      </c>
      <c r="B811" s="1" t="s">
        <v>2652</v>
      </c>
      <c r="C811" s="1" t="str">
        <f>"9781408267776"</f>
        <v>9781408267776</v>
      </c>
      <c r="D811" s="1" t="str">
        <f>"9781408267790"</f>
        <v>9781408267790</v>
      </c>
      <c r="E811" s="1" t="s">
        <v>52</v>
      </c>
      <c r="F811" s="1" t="s">
        <v>195</v>
      </c>
      <c r="G811" s="3">
        <v>40756</v>
      </c>
      <c r="H811" s="3">
        <v>1</v>
      </c>
      <c r="I811" s="1" t="s">
        <v>41</v>
      </c>
      <c r="J811" s="1">
        <v>1</v>
      </c>
      <c r="K811" s="1" t="s">
        <v>2653</v>
      </c>
      <c r="L811" s="1" t="s">
        <v>2654</v>
      </c>
      <c r="M811" s="1" t="s">
        <v>2655</v>
      </c>
      <c r="N811" s="1" t="s">
        <v>2656</v>
      </c>
      <c r="O811" s="1">
        <v>372.6044</v>
      </c>
      <c r="P811" s="1" t="s">
        <v>2657</v>
      </c>
      <c r="Q811" s="1" t="s">
        <v>46</v>
      </c>
      <c r="R811" s="1" t="s">
        <v>47</v>
      </c>
      <c r="S811" s="1" t="s">
        <v>47</v>
      </c>
      <c r="T811" s="1" t="s">
        <v>48</v>
      </c>
      <c r="U811" s="1" t="s">
        <v>47</v>
      </c>
      <c r="V811" s="1" t="s">
        <v>47</v>
      </c>
      <c r="W811" s="1" t="s">
        <v>47</v>
      </c>
      <c r="Z811" s="1">
        <v>0</v>
      </c>
      <c r="AB811" s="1" t="s">
        <v>47</v>
      </c>
      <c r="AD811" s="1">
        <v>404670</v>
      </c>
      <c r="AF811" s="1" t="s">
        <v>47</v>
      </c>
      <c r="AG811" s="1" t="s">
        <v>47</v>
      </c>
      <c r="AH811" s="1" t="s">
        <v>49</v>
      </c>
      <c r="AI811" s="1" t="s">
        <v>47</v>
      </c>
      <c r="AK811" s="1" t="s">
        <v>48</v>
      </c>
      <c r="AL811" s="1" t="s">
        <v>2658</v>
      </c>
    </row>
    <row r="812" spans="1:38">
      <c r="A812" s="1">
        <v>5139033</v>
      </c>
      <c r="B812" s="1" t="s">
        <v>2659</v>
      </c>
      <c r="C812" s="1" t="str">
        <f>"9781292039558"</f>
        <v>9781292039558</v>
      </c>
      <c r="D812" s="1" t="str">
        <f>"9781292055978"</f>
        <v>9781292055978</v>
      </c>
      <c r="E812" s="1" t="s">
        <v>52</v>
      </c>
      <c r="F812" s="1" t="s">
        <v>40</v>
      </c>
      <c r="G812" s="3">
        <v>41579</v>
      </c>
      <c r="H812" s="3">
        <v>1</v>
      </c>
      <c r="I812" s="1" t="s">
        <v>41</v>
      </c>
      <c r="J812" s="1">
        <v>9</v>
      </c>
      <c r="L812" s="1" t="s">
        <v>2660</v>
      </c>
      <c r="M812" s="1" t="s">
        <v>414</v>
      </c>
      <c r="O812" s="1">
        <v>542</v>
      </c>
      <c r="Q812" s="1" t="s">
        <v>46</v>
      </c>
      <c r="R812" s="1" t="s">
        <v>47</v>
      </c>
      <c r="S812" s="1" t="s">
        <v>47</v>
      </c>
      <c r="T812" s="1" t="s">
        <v>48</v>
      </c>
      <c r="U812" s="1" t="s">
        <v>47</v>
      </c>
      <c r="V812" s="1" t="s">
        <v>47</v>
      </c>
      <c r="W812" s="1" t="s">
        <v>47</v>
      </c>
      <c r="Z812" s="1">
        <v>0</v>
      </c>
      <c r="AB812" s="1" t="s">
        <v>47</v>
      </c>
      <c r="AD812" s="1">
        <v>543481</v>
      </c>
      <c r="AF812" s="1" t="s">
        <v>47</v>
      </c>
      <c r="AG812" s="1" t="s">
        <v>47</v>
      </c>
      <c r="AH812" s="1" t="s">
        <v>49</v>
      </c>
      <c r="AI812" s="1" t="s">
        <v>47</v>
      </c>
      <c r="AK812" s="1" t="s">
        <v>48</v>
      </c>
      <c r="AL812" s="1" t="s">
        <v>2661</v>
      </c>
    </row>
    <row r="813" spans="1:38">
      <c r="A813" s="1">
        <v>5139034</v>
      </c>
      <c r="B813" s="1" t="s">
        <v>2662</v>
      </c>
      <c r="C813" s="1" t="str">
        <f>"9781292025766"</f>
        <v>9781292025766</v>
      </c>
      <c r="D813" s="1" t="str">
        <f>"9781292038186"</f>
        <v>9781292038186</v>
      </c>
      <c r="E813" s="1" t="s">
        <v>52</v>
      </c>
      <c r="F813" s="1" t="s">
        <v>40</v>
      </c>
      <c r="G813" s="3">
        <v>41478</v>
      </c>
      <c r="H813" s="3">
        <v>1</v>
      </c>
      <c r="I813" s="1" t="s">
        <v>41</v>
      </c>
      <c r="J813" s="1">
        <v>4</v>
      </c>
      <c r="L813" s="1" t="s">
        <v>2663</v>
      </c>
      <c r="M813" s="1" t="s">
        <v>556</v>
      </c>
      <c r="O813" s="1">
        <v>6.76</v>
      </c>
      <c r="Q813" s="1" t="s">
        <v>46</v>
      </c>
      <c r="R813" s="1" t="s">
        <v>47</v>
      </c>
      <c r="S813" s="1" t="s">
        <v>47</v>
      </c>
      <c r="T813" s="1" t="s">
        <v>48</v>
      </c>
      <c r="U813" s="1" t="s">
        <v>47</v>
      </c>
      <c r="V813" s="1" t="s">
        <v>47</v>
      </c>
      <c r="W813" s="1" t="s">
        <v>47</v>
      </c>
      <c r="Z813" s="1">
        <v>0</v>
      </c>
      <c r="AB813" s="1" t="s">
        <v>47</v>
      </c>
      <c r="AD813" s="1">
        <v>527233</v>
      </c>
      <c r="AF813" s="1" t="s">
        <v>47</v>
      </c>
      <c r="AG813" s="1" t="s">
        <v>47</v>
      </c>
      <c r="AH813" s="1" t="s">
        <v>49</v>
      </c>
      <c r="AI813" s="1" t="s">
        <v>47</v>
      </c>
      <c r="AK813" s="1" t="s">
        <v>48</v>
      </c>
      <c r="AL813" s="1" t="s">
        <v>2664</v>
      </c>
    </row>
    <row r="814" spans="1:38">
      <c r="A814" s="1">
        <v>5139036</v>
      </c>
      <c r="B814" s="1" t="s">
        <v>2665</v>
      </c>
      <c r="C814" s="1" t="str">
        <f>"9781292022017"</f>
        <v>9781292022017</v>
      </c>
      <c r="D814" s="1" t="str">
        <f>"9781292035222"</f>
        <v>9781292035222</v>
      </c>
      <c r="E814" s="1" t="s">
        <v>52</v>
      </c>
      <c r="F814" s="1" t="s">
        <v>40</v>
      </c>
      <c r="G814" s="3">
        <v>41513</v>
      </c>
      <c r="H814" s="3">
        <v>1</v>
      </c>
      <c r="I814" s="1" t="s">
        <v>41</v>
      </c>
      <c r="J814" s="1">
        <v>9</v>
      </c>
      <c r="L814" s="1" t="s">
        <v>2666</v>
      </c>
      <c r="M814" s="1" t="s">
        <v>242</v>
      </c>
      <c r="N814" s="1" t="s">
        <v>2667</v>
      </c>
      <c r="O814" s="1">
        <v>519.5</v>
      </c>
      <c r="Q814" s="1" t="s">
        <v>46</v>
      </c>
      <c r="R814" s="1" t="s">
        <v>47</v>
      </c>
      <c r="S814" s="1" t="s">
        <v>47</v>
      </c>
      <c r="T814" s="1" t="s">
        <v>48</v>
      </c>
      <c r="U814" s="1" t="s">
        <v>47</v>
      </c>
      <c r="V814" s="1" t="s">
        <v>47</v>
      </c>
      <c r="W814" s="1" t="s">
        <v>47</v>
      </c>
      <c r="Z814" s="1">
        <v>0</v>
      </c>
      <c r="AB814" s="1" t="s">
        <v>47</v>
      </c>
      <c r="AD814" s="1">
        <v>527015</v>
      </c>
      <c r="AF814" s="1" t="s">
        <v>47</v>
      </c>
      <c r="AG814" s="1" t="s">
        <v>47</v>
      </c>
      <c r="AH814" s="1" t="s">
        <v>49</v>
      </c>
      <c r="AI814" s="1" t="s">
        <v>47</v>
      </c>
      <c r="AK814" s="1" t="s">
        <v>48</v>
      </c>
      <c r="AL814" s="1" t="s">
        <v>2668</v>
      </c>
    </row>
    <row r="815" spans="1:38">
      <c r="A815" s="1">
        <v>5139049</v>
      </c>
      <c r="B815" s="1" t="s">
        <v>2669</v>
      </c>
      <c r="C815" s="1" t="str">
        <f>"9781292025285"</f>
        <v>9781292025285</v>
      </c>
      <c r="D815" s="1" t="str">
        <f>"9781292037844"</f>
        <v>9781292037844</v>
      </c>
      <c r="E815" s="1" t="s">
        <v>52</v>
      </c>
      <c r="F815" s="1" t="s">
        <v>40</v>
      </c>
      <c r="G815" s="3">
        <v>41478</v>
      </c>
      <c r="H815" s="3">
        <v>1</v>
      </c>
      <c r="I815" s="1" t="s">
        <v>41</v>
      </c>
      <c r="J815" s="1">
        <v>2</v>
      </c>
      <c r="L815" s="1" t="s">
        <v>2670</v>
      </c>
      <c r="M815" s="1" t="s">
        <v>59</v>
      </c>
      <c r="O815" s="1">
        <v>659.2</v>
      </c>
      <c r="Q815" s="1" t="s">
        <v>46</v>
      </c>
      <c r="R815" s="1" t="s">
        <v>47</v>
      </c>
      <c r="S815" s="1" t="s">
        <v>47</v>
      </c>
      <c r="T815" s="1" t="s">
        <v>48</v>
      </c>
      <c r="U815" s="1" t="s">
        <v>47</v>
      </c>
      <c r="V815" s="1" t="s">
        <v>47</v>
      </c>
      <c r="W815" s="1" t="s">
        <v>47</v>
      </c>
      <c r="Z815" s="1">
        <v>0</v>
      </c>
      <c r="AB815" s="1" t="s">
        <v>47</v>
      </c>
      <c r="AD815" s="1">
        <v>527133</v>
      </c>
      <c r="AF815" s="1" t="s">
        <v>47</v>
      </c>
      <c r="AG815" s="1" t="s">
        <v>47</v>
      </c>
      <c r="AH815" s="1" t="s">
        <v>49</v>
      </c>
      <c r="AI815" s="1" t="s">
        <v>47</v>
      </c>
      <c r="AK815" s="1" t="s">
        <v>48</v>
      </c>
      <c r="AL815" s="1" t="s">
        <v>2671</v>
      </c>
    </row>
    <row r="816" spans="1:38">
      <c r="A816" s="1">
        <v>5139051</v>
      </c>
      <c r="B816" s="1" t="s">
        <v>2672</v>
      </c>
      <c r="C816" s="1" t="str">
        <f>"9781408295274"</f>
        <v>9781408295274</v>
      </c>
      <c r="D816" s="1" t="str">
        <f>"9781408296059"</f>
        <v>9781408296059</v>
      </c>
      <c r="E816" s="1" t="s">
        <v>52</v>
      </c>
      <c r="F816" s="1" t="s">
        <v>40</v>
      </c>
      <c r="G816" s="3">
        <v>41365</v>
      </c>
      <c r="H816" s="3">
        <v>1</v>
      </c>
      <c r="I816" s="1" t="s">
        <v>41</v>
      </c>
      <c r="J816" s="1">
        <v>17</v>
      </c>
      <c r="L816" s="1" t="s">
        <v>2673</v>
      </c>
      <c r="M816" s="1" t="s">
        <v>162</v>
      </c>
      <c r="N816" s="1" t="s">
        <v>2674</v>
      </c>
      <c r="O816" s="1">
        <v>349.4</v>
      </c>
      <c r="Q816" s="1" t="s">
        <v>46</v>
      </c>
      <c r="R816" s="1" t="s">
        <v>47</v>
      </c>
      <c r="S816" s="1" t="s">
        <v>47</v>
      </c>
      <c r="T816" s="1" t="s">
        <v>48</v>
      </c>
      <c r="U816" s="1" t="s">
        <v>47</v>
      </c>
      <c r="V816" s="1" t="s">
        <v>47</v>
      </c>
      <c r="W816" s="1" t="s">
        <v>47</v>
      </c>
      <c r="Z816" s="1">
        <v>0</v>
      </c>
      <c r="AB816" s="1" t="s">
        <v>47</v>
      </c>
      <c r="AD816" s="1">
        <v>502443</v>
      </c>
      <c r="AF816" s="1" t="s">
        <v>47</v>
      </c>
      <c r="AG816" s="1" t="s">
        <v>47</v>
      </c>
      <c r="AH816" s="1" t="s">
        <v>49</v>
      </c>
      <c r="AI816" s="1" t="s">
        <v>47</v>
      </c>
      <c r="AK816" s="1" t="s">
        <v>48</v>
      </c>
      <c r="AL816" s="1" t="s">
        <v>2675</v>
      </c>
    </row>
    <row r="817" spans="1:38">
      <c r="A817" s="1">
        <v>5139054</v>
      </c>
      <c r="B817" s="1" t="s">
        <v>2676</v>
      </c>
      <c r="C817" s="1" t="str">
        <f>""</f>
        <v/>
      </c>
      <c r="D817" s="1" t="str">
        <f>"9780273787303"</f>
        <v>9780273787303</v>
      </c>
      <c r="E817" s="1" t="s">
        <v>52</v>
      </c>
      <c r="F817" s="1" t="s">
        <v>40</v>
      </c>
      <c r="G817" s="3">
        <v>41584</v>
      </c>
      <c r="H817" s="3">
        <v>1</v>
      </c>
      <c r="I817" s="1" t="s">
        <v>41</v>
      </c>
      <c r="J817" s="1">
        <v>7</v>
      </c>
      <c r="L817" s="1" t="s">
        <v>2677</v>
      </c>
      <c r="Q817" s="1" t="s">
        <v>46</v>
      </c>
      <c r="R817" s="1" t="s">
        <v>47</v>
      </c>
      <c r="S817" s="1" t="s">
        <v>47</v>
      </c>
      <c r="T817" s="1" t="s">
        <v>48</v>
      </c>
      <c r="U817" s="1" t="s">
        <v>47</v>
      </c>
      <c r="V817" s="1" t="s">
        <v>47</v>
      </c>
      <c r="W817" s="1" t="s">
        <v>47</v>
      </c>
      <c r="Z817" s="1">
        <v>0</v>
      </c>
      <c r="AB817" s="1" t="s">
        <v>47</v>
      </c>
      <c r="AD817" s="1">
        <v>523726</v>
      </c>
      <c r="AF817" s="1" t="s">
        <v>47</v>
      </c>
      <c r="AG817" s="1" t="s">
        <v>47</v>
      </c>
      <c r="AH817" s="1" t="s">
        <v>49</v>
      </c>
      <c r="AI817" s="1" t="s">
        <v>47</v>
      </c>
      <c r="AK817" s="1" t="s">
        <v>48</v>
      </c>
      <c r="AL817" s="1" t="s">
        <v>2678</v>
      </c>
    </row>
    <row r="818" spans="1:38">
      <c r="A818" s="1">
        <v>5139055</v>
      </c>
      <c r="B818" s="1" t="s">
        <v>2679</v>
      </c>
      <c r="C818" s="1" t="str">
        <f>"9781292024585"</f>
        <v>9781292024585</v>
      </c>
      <c r="D818" s="1" t="str">
        <f>"9781292037325"</f>
        <v>9781292037325</v>
      </c>
      <c r="E818" s="1" t="s">
        <v>52</v>
      </c>
      <c r="F818" s="1" t="s">
        <v>40</v>
      </c>
      <c r="G818" s="3">
        <v>41478</v>
      </c>
      <c r="H818" s="3">
        <v>1</v>
      </c>
      <c r="I818" s="1" t="s">
        <v>41</v>
      </c>
      <c r="J818" s="1">
        <v>6</v>
      </c>
      <c r="L818" s="1" t="s">
        <v>2680</v>
      </c>
      <c r="M818" s="1" t="s">
        <v>1527</v>
      </c>
      <c r="O818" s="1">
        <v>621.31042000000002</v>
      </c>
      <c r="Q818" s="1" t="s">
        <v>46</v>
      </c>
      <c r="R818" s="1" t="s">
        <v>47</v>
      </c>
      <c r="S818" s="1" t="s">
        <v>47</v>
      </c>
      <c r="T818" s="1" t="s">
        <v>48</v>
      </c>
      <c r="U818" s="1" t="s">
        <v>47</v>
      </c>
      <c r="V818" s="1" t="s">
        <v>47</v>
      </c>
      <c r="W818" s="1" t="s">
        <v>47</v>
      </c>
      <c r="Z818" s="1">
        <v>0</v>
      </c>
      <c r="AB818" s="1" t="s">
        <v>47</v>
      </c>
      <c r="AD818" s="1">
        <v>527114</v>
      </c>
      <c r="AF818" s="1" t="s">
        <v>47</v>
      </c>
      <c r="AG818" s="1" t="s">
        <v>47</v>
      </c>
      <c r="AH818" s="1" t="s">
        <v>49</v>
      </c>
      <c r="AI818" s="1" t="s">
        <v>47</v>
      </c>
      <c r="AK818" s="1" t="s">
        <v>48</v>
      </c>
      <c r="AL818" s="1" t="s">
        <v>2681</v>
      </c>
    </row>
    <row r="819" spans="1:38">
      <c r="A819" s="1">
        <v>5139058</v>
      </c>
      <c r="B819" s="1" t="s">
        <v>2682</v>
      </c>
      <c r="C819" s="1" t="str">
        <f>"9781292041759"</f>
        <v>9781292041759</v>
      </c>
      <c r="D819" s="1" t="str">
        <f>"9781292056005"</f>
        <v>9781292056005</v>
      </c>
      <c r="E819" s="1" t="s">
        <v>52</v>
      </c>
      <c r="F819" s="1" t="s">
        <v>40</v>
      </c>
      <c r="G819" s="3">
        <v>41579</v>
      </c>
      <c r="H819" s="3">
        <v>1</v>
      </c>
      <c r="I819" s="1" t="s">
        <v>41</v>
      </c>
      <c r="J819" s="1">
        <v>6</v>
      </c>
      <c r="L819" s="1" t="s">
        <v>2683</v>
      </c>
      <c r="M819" s="1" t="s">
        <v>372</v>
      </c>
      <c r="O819" s="1">
        <v>364.2</v>
      </c>
      <c r="Q819" s="1" t="s">
        <v>46</v>
      </c>
      <c r="R819" s="1" t="s">
        <v>47</v>
      </c>
      <c r="S819" s="1" t="s">
        <v>47</v>
      </c>
      <c r="T819" s="1" t="s">
        <v>48</v>
      </c>
      <c r="U819" s="1" t="s">
        <v>47</v>
      </c>
      <c r="V819" s="1" t="s">
        <v>47</v>
      </c>
      <c r="W819" s="1" t="s">
        <v>47</v>
      </c>
      <c r="Z819" s="1">
        <v>0</v>
      </c>
      <c r="AB819" s="1" t="s">
        <v>47</v>
      </c>
      <c r="AD819" s="1">
        <v>543623</v>
      </c>
      <c r="AF819" s="1" t="s">
        <v>47</v>
      </c>
      <c r="AG819" s="1" t="s">
        <v>47</v>
      </c>
      <c r="AH819" s="1" t="s">
        <v>49</v>
      </c>
      <c r="AI819" s="1" t="s">
        <v>47</v>
      </c>
      <c r="AK819" s="1" t="s">
        <v>48</v>
      </c>
      <c r="AL819" s="1" t="s">
        <v>2684</v>
      </c>
    </row>
    <row r="820" spans="1:38">
      <c r="A820" s="1">
        <v>5139059</v>
      </c>
      <c r="B820" s="1" t="s">
        <v>2685</v>
      </c>
      <c r="C820" s="1" t="str">
        <f>""</f>
        <v/>
      </c>
      <c r="D820" s="1" t="str">
        <f>"9780273742531"</f>
        <v>9780273742531</v>
      </c>
      <c r="E820" s="1" t="s">
        <v>52</v>
      </c>
      <c r="F820" s="1" t="s">
        <v>157</v>
      </c>
      <c r="G820" s="3">
        <v>40567</v>
      </c>
      <c r="H820" s="3">
        <v>1</v>
      </c>
      <c r="I820" s="1" t="s">
        <v>41</v>
      </c>
      <c r="J820" s="1">
        <v>1</v>
      </c>
      <c r="L820" s="1" t="s">
        <v>2686</v>
      </c>
      <c r="Q820" s="1" t="s">
        <v>46</v>
      </c>
      <c r="R820" s="1" t="s">
        <v>47</v>
      </c>
      <c r="S820" s="1" t="s">
        <v>47</v>
      </c>
      <c r="T820" s="1" t="s">
        <v>48</v>
      </c>
      <c r="U820" s="1" t="s">
        <v>47</v>
      </c>
      <c r="V820" s="1" t="s">
        <v>47</v>
      </c>
      <c r="W820" s="1" t="s">
        <v>47</v>
      </c>
      <c r="Z820" s="1">
        <v>0</v>
      </c>
      <c r="AB820" s="1" t="s">
        <v>47</v>
      </c>
      <c r="AD820" s="1">
        <v>298375</v>
      </c>
      <c r="AF820" s="1" t="s">
        <v>47</v>
      </c>
      <c r="AG820" s="1" t="s">
        <v>47</v>
      </c>
      <c r="AH820" s="1" t="s">
        <v>49</v>
      </c>
      <c r="AI820" s="1" t="s">
        <v>47</v>
      </c>
      <c r="AK820" s="1" t="s">
        <v>48</v>
      </c>
      <c r="AL820" s="1" t="s">
        <v>2687</v>
      </c>
    </row>
    <row r="821" spans="1:38">
      <c r="A821" s="1">
        <v>5139070</v>
      </c>
      <c r="B821" s="1" t="s">
        <v>2688</v>
      </c>
      <c r="C821" s="1" t="str">
        <f>"9781292040059"</f>
        <v>9781292040059</v>
      </c>
      <c r="D821" s="1" t="str">
        <f>"9781292056012"</f>
        <v>9781292056012</v>
      </c>
      <c r="E821" s="1" t="s">
        <v>52</v>
      </c>
      <c r="F821" s="1" t="s">
        <v>40</v>
      </c>
      <c r="G821" s="3">
        <v>41579</v>
      </c>
      <c r="H821" s="3">
        <v>1</v>
      </c>
      <c r="I821" s="1" t="s">
        <v>41</v>
      </c>
      <c r="J821" s="1">
        <v>3</v>
      </c>
      <c r="L821" s="1" t="s">
        <v>2689</v>
      </c>
      <c r="M821" s="1" t="s">
        <v>2690</v>
      </c>
      <c r="O821" s="1">
        <v>621.81100000000004</v>
      </c>
      <c r="Q821" s="1" t="s">
        <v>46</v>
      </c>
      <c r="R821" s="1" t="s">
        <v>47</v>
      </c>
      <c r="S821" s="1" t="s">
        <v>47</v>
      </c>
      <c r="T821" s="1" t="s">
        <v>48</v>
      </c>
      <c r="U821" s="1" t="s">
        <v>47</v>
      </c>
      <c r="V821" s="1" t="s">
        <v>47</v>
      </c>
      <c r="W821" s="1" t="s">
        <v>47</v>
      </c>
      <c r="Z821" s="1">
        <v>0</v>
      </c>
      <c r="AB821" s="1" t="s">
        <v>47</v>
      </c>
      <c r="AD821" s="1">
        <v>543611</v>
      </c>
      <c r="AF821" s="1" t="s">
        <v>47</v>
      </c>
      <c r="AG821" s="1" t="s">
        <v>47</v>
      </c>
      <c r="AH821" s="1" t="s">
        <v>49</v>
      </c>
      <c r="AI821" s="1" t="s">
        <v>47</v>
      </c>
      <c r="AK821" s="1" t="s">
        <v>48</v>
      </c>
      <c r="AL821" s="1" t="s">
        <v>2691</v>
      </c>
    </row>
    <row r="822" spans="1:38">
      <c r="A822" s="1">
        <v>5139073</v>
      </c>
      <c r="B822" s="1" t="s">
        <v>2692</v>
      </c>
      <c r="C822" s="1" t="str">
        <f>"9781408244708"</f>
        <v>9781408244708</v>
      </c>
      <c r="D822" s="1" t="str">
        <f>"9781408244722"</f>
        <v>9781408244722</v>
      </c>
      <c r="E822" s="1" t="s">
        <v>52</v>
      </c>
      <c r="F822" s="1" t="s">
        <v>195</v>
      </c>
      <c r="G822" s="3">
        <v>40664</v>
      </c>
      <c r="H822" s="3">
        <v>1</v>
      </c>
      <c r="I822" s="1" t="s">
        <v>41</v>
      </c>
      <c r="J822" s="1">
        <v>2</v>
      </c>
      <c r="L822" s="1" t="s">
        <v>2693</v>
      </c>
      <c r="M822" s="1" t="s">
        <v>372</v>
      </c>
      <c r="N822" s="1" t="s">
        <v>2694</v>
      </c>
      <c r="O822" s="1">
        <v>361.3</v>
      </c>
      <c r="P822" s="1" t="s">
        <v>2695</v>
      </c>
      <c r="Q822" s="1" t="s">
        <v>46</v>
      </c>
      <c r="R822" s="1" t="s">
        <v>47</v>
      </c>
      <c r="S822" s="1" t="s">
        <v>47</v>
      </c>
      <c r="T822" s="1" t="s">
        <v>48</v>
      </c>
      <c r="U822" s="1" t="s">
        <v>47</v>
      </c>
      <c r="V822" s="1" t="s">
        <v>47</v>
      </c>
      <c r="W822" s="1" t="s">
        <v>47</v>
      </c>
      <c r="Z822" s="1">
        <v>0</v>
      </c>
      <c r="AB822" s="1" t="s">
        <v>47</v>
      </c>
      <c r="AD822" s="1">
        <v>327576</v>
      </c>
      <c r="AF822" s="1" t="s">
        <v>47</v>
      </c>
      <c r="AG822" s="1" t="s">
        <v>47</v>
      </c>
      <c r="AH822" s="1" t="s">
        <v>49</v>
      </c>
      <c r="AI822" s="1" t="s">
        <v>47</v>
      </c>
      <c r="AK822" s="1" t="s">
        <v>48</v>
      </c>
      <c r="AL822" s="1" t="s">
        <v>2696</v>
      </c>
    </row>
    <row r="823" spans="1:38">
      <c r="A823" s="1">
        <v>5139076</v>
      </c>
      <c r="B823" s="1" t="s">
        <v>2697</v>
      </c>
      <c r="C823" s="1" t="str">
        <f>"9781292021539"</f>
        <v>9781292021539</v>
      </c>
      <c r="D823" s="1" t="str">
        <f>"9781292034768"</f>
        <v>9781292034768</v>
      </c>
      <c r="E823" s="1" t="s">
        <v>52</v>
      </c>
      <c r="F823" s="1" t="s">
        <v>40</v>
      </c>
      <c r="G823" s="3">
        <v>41471</v>
      </c>
      <c r="H823" s="3">
        <v>1</v>
      </c>
      <c r="I823" s="1" t="s">
        <v>41</v>
      </c>
      <c r="J823" s="1">
        <v>2</v>
      </c>
      <c r="L823" s="1" t="s">
        <v>2698</v>
      </c>
      <c r="M823" s="1" t="s">
        <v>1519</v>
      </c>
      <c r="O823" s="1">
        <v>552</v>
      </c>
      <c r="Q823" s="1" t="s">
        <v>46</v>
      </c>
      <c r="R823" s="1" t="s">
        <v>47</v>
      </c>
      <c r="S823" s="1" t="s">
        <v>47</v>
      </c>
      <c r="T823" s="1" t="s">
        <v>48</v>
      </c>
      <c r="U823" s="1" t="s">
        <v>47</v>
      </c>
      <c r="V823" s="1" t="s">
        <v>47</v>
      </c>
      <c r="W823" s="1" t="s">
        <v>47</v>
      </c>
      <c r="Z823" s="1">
        <v>0</v>
      </c>
      <c r="AB823" s="1" t="s">
        <v>47</v>
      </c>
      <c r="AD823" s="1">
        <v>527001</v>
      </c>
      <c r="AF823" s="1" t="s">
        <v>47</v>
      </c>
      <c r="AG823" s="1" t="s">
        <v>47</v>
      </c>
      <c r="AH823" s="1" t="s">
        <v>49</v>
      </c>
      <c r="AI823" s="1" t="s">
        <v>47</v>
      </c>
      <c r="AK823" s="1" t="s">
        <v>48</v>
      </c>
      <c r="AL823" s="1" t="s">
        <v>2699</v>
      </c>
    </row>
    <row r="824" spans="1:38">
      <c r="A824" s="1">
        <v>5139082</v>
      </c>
      <c r="B824" s="1" t="s">
        <v>2700</v>
      </c>
      <c r="C824" s="1" t="str">
        <f>"9781292022765"</f>
        <v>9781292022765</v>
      </c>
      <c r="D824" s="1" t="str">
        <f>"9781292035963"</f>
        <v>9781292035963</v>
      </c>
      <c r="E824" s="1" t="s">
        <v>52</v>
      </c>
      <c r="F824" s="1" t="s">
        <v>40</v>
      </c>
      <c r="G824" s="3">
        <v>41487</v>
      </c>
      <c r="H824" s="3">
        <v>1</v>
      </c>
      <c r="I824" s="1" t="s">
        <v>41</v>
      </c>
      <c r="J824" s="1">
        <v>11</v>
      </c>
      <c r="L824" s="1" t="s">
        <v>2701</v>
      </c>
      <c r="M824" s="1" t="s">
        <v>468</v>
      </c>
      <c r="O824" s="1">
        <v>100</v>
      </c>
      <c r="Q824" s="1" t="s">
        <v>46</v>
      </c>
      <c r="R824" s="1" t="s">
        <v>47</v>
      </c>
      <c r="S824" s="1" t="s">
        <v>47</v>
      </c>
      <c r="T824" s="1" t="s">
        <v>48</v>
      </c>
      <c r="U824" s="1" t="s">
        <v>47</v>
      </c>
      <c r="V824" s="1" t="s">
        <v>47</v>
      </c>
      <c r="W824" s="1" t="s">
        <v>47</v>
      </c>
      <c r="Z824" s="1">
        <v>0</v>
      </c>
      <c r="AB824" s="1" t="s">
        <v>47</v>
      </c>
      <c r="AD824" s="1">
        <v>527172</v>
      </c>
      <c r="AF824" s="1" t="s">
        <v>47</v>
      </c>
      <c r="AG824" s="1" t="s">
        <v>47</v>
      </c>
      <c r="AH824" s="1" t="s">
        <v>49</v>
      </c>
      <c r="AI824" s="1" t="s">
        <v>47</v>
      </c>
      <c r="AK824" s="1" t="s">
        <v>48</v>
      </c>
      <c r="AL824" s="1" t="s">
        <v>2702</v>
      </c>
    </row>
    <row r="825" spans="1:38">
      <c r="A825" s="1">
        <v>5139087</v>
      </c>
      <c r="B825" s="1" t="s">
        <v>2703</v>
      </c>
      <c r="C825" s="1" t="str">
        <f>"9780273759805"</f>
        <v>9780273759805</v>
      </c>
      <c r="D825" s="1" t="str">
        <f>"9780273759812"</f>
        <v>9780273759812</v>
      </c>
      <c r="E825" s="1" t="s">
        <v>52</v>
      </c>
      <c r="F825" s="1" t="s">
        <v>40</v>
      </c>
      <c r="G825" s="3">
        <v>40952</v>
      </c>
      <c r="H825" s="3">
        <v>1</v>
      </c>
      <c r="I825" s="1" t="s">
        <v>41</v>
      </c>
      <c r="J825" s="1">
        <v>2</v>
      </c>
      <c r="L825" s="1" t="s">
        <v>2704</v>
      </c>
      <c r="M825" s="1" t="s">
        <v>100</v>
      </c>
      <c r="N825" s="1" t="s">
        <v>2705</v>
      </c>
      <c r="O825" s="1">
        <v>150.71100000000001</v>
      </c>
      <c r="P825" s="1" t="s">
        <v>1541</v>
      </c>
      <c r="Q825" s="1" t="s">
        <v>46</v>
      </c>
      <c r="R825" s="1" t="s">
        <v>47</v>
      </c>
      <c r="S825" s="1" t="s">
        <v>47</v>
      </c>
      <c r="T825" s="1" t="s">
        <v>48</v>
      </c>
      <c r="U825" s="1" t="s">
        <v>47</v>
      </c>
      <c r="V825" s="1" t="s">
        <v>47</v>
      </c>
      <c r="W825" s="1" t="s">
        <v>47</v>
      </c>
      <c r="Z825" s="1">
        <v>0</v>
      </c>
      <c r="AB825" s="1" t="s">
        <v>47</v>
      </c>
      <c r="AD825" s="1">
        <v>369115</v>
      </c>
      <c r="AF825" s="1" t="s">
        <v>47</v>
      </c>
      <c r="AG825" s="1" t="s">
        <v>47</v>
      </c>
      <c r="AH825" s="1" t="s">
        <v>49</v>
      </c>
      <c r="AI825" s="1" t="s">
        <v>47</v>
      </c>
      <c r="AK825" s="1" t="s">
        <v>48</v>
      </c>
      <c r="AL825" s="1" t="s">
        <v>2706</v>
      </c>
    </row>
    <row r="826" spans="1:38">
      <c r="A826" s="1">
        <v>5139089</v>
      </c>
      <c r="B826" s="1" t="s">
        <v>2707</v>
      </c>
      <c r="C826" s="1" t="str">
        <f>"9780273730682"</f>
        <v>9780273730682</v>
      </c>
      <c r="D826" s="1" t="str">
        <f>"9780273730705"</f>
        <v>9780273730705</v>
      </c>
      <c r="E826" s="1" t="s">
        <v>52</v>
      </c>
      <c r="F826" s="1" t="s">
        <v>157</v>
      </c>
      <c r="G826" s="3">
        <v>40603</v>
      </c>
      <c r="H826" s="3">
        <v>1</v>
      </c>
      <c r="I826" s="1" t="s">
        <v>41</v>
      </c>
      <c r="J826" s="1">
        <v>3</v>
      </c>
      <c r="L826" s="1" t="s">
        <v>2708</v>
      </c>
      <c r="M826" s="1" t="s">
        <v>2709</v>
      </c>
      <c r="N826" s="1" t="s">
        <v>2710</v>
      </c>
      <c r="O826" s="1">
        <v>616.07899999999995</v>
      </c>
      <c r="P826" s="1" t="s">
        <v>2711</v>
      </c>
      <c r="Q826" s="1" t="s">
        <v>46</v>
      </c>
      <c r="R826" s="1" t="s">
        <v>47</v>
      </c>
      <c r="S826" s="1" t="s">
        <v>47</v>
      </c>
      <c r="T826" s="1" t="s">
        <v>48</v>
      </c>
      <c r="U826" s="1" t="s">
        <v>47</v>
      </c>
      <c r="V826" s="1" t="s">
        <v>47</v>
      </c>
      <c r="W826" s="1" t="s">
        <v>47</v>
      </c>
      <c r="Z826" s="1">
        <v>0</v>
      </c>
      <c r="AB826" s="1" t="s">
        <v>47</v>
      </c>
      <c r="AD826" s="1">
        <v>317321</v>
      </c>
      <c r="AF826" s="1" t="s">
        <v>47</v>
      </c>
      <c r="AG826" s="1" t="s">
        <v>47</v>
      </c>
      <c r="AH826" s="1" t="s">
        <v>49</v>
      </c>
      <c r="AI826" s="1" t="s">
        <v>47</v>
      </c>
      <c r="AK826" s="1" t="s">
        <v>48</v>
      </c>
      <c r="AL826" s="1" t="s">
        <v>2712</v>
      </c>
    </row>
    <row r="827" spans="1:38">
      <c r="A827" s="1">
        <v>5139093</v>
      </c>
      <c r="B827" s="1" t="s">
        <v>2713</v>
      </c>
      <c r="C827" s="1" t="str">
        <f>"9781408257500"</f>
        <v>9781408257500</v>
      </c>
      <c r="D827" s="1" t="str">
        <f>"9781408257517"</f>
        <v>9781408257517</v>
      </c>
      <c r="E827" s="1" t="s">
        <v>52</v>
      </c>
      <c r="F827" s="1" t="s">
        <v>40</v>
      </c>
      <c r="G827" s="3">
        <v>41122</v>
      </c>
      <c r="H827" s="3">
        <v>1</v>
      </c>
      <c r="I827" s="1" t="s">
        <v>41</v>
      </c>
      <c r="J827" s="1">
        <v>2</v>
      </c>
      <c r="L827" s="1" t="s">
        <v>2714</v>
      </c>
      <c r="M827" s="1" t="s">
        <v>54</v>
      </c>
      <c r="O827" s="1">
        <v>370.15</v>
      </c>
      <c r="Q827" s="1" t="s">
        <v>46</v>
      </c>
      <c r="R827" s="1" t="s">
        <v>47</v>
      </c>
      <c r="S827" s="1" t="s">
        <v>47</v>
      </c>
      <c r="T827" s="1" t="s">
        <v>48</v>
      </c>
      <c r="U827" s="1" t="s">
        <v>47</v>
      </c>
      <c r="V827" s="1" t="s">
        <v>47</v>
      </c>
      <c r="W827" s="1" t="s">
        <v>47</v>
      </c>
      <c r="Z827" s="1">
        <v>0</v>
      </c>
      <c r="AB827" s="1" t="s">
        <v>47</v>
      </c>
      <c r="AD827" s="1">
        <v>463015</v>
      </c>
      <c r="AF827" s="1" t="s">
        <v>47</v>
      </c>
      <c r="AG827" s="1" t="s">
        <v>47</v>
      </c>
      <c r="AH827" s="1" t="s">
        <v>49</v>
      </c>
      <c r="AI827" s="1" t="s">
        <v>47</v>
      </c>
      <c r="AK827" s="1" t="s">
        <v>48</v>
      </c>
      <c r="AL827" s="1" t="s">
        <v>2715</v>
      </c>
    </row>
    <row r="828" spans="1:38">
      <c r="A828" s="1">
        <v>5139094</v>
      </c>
      <c r="B828" s="1" t="s">
        <v>2716</v>
      </c>
      <c r="C828" s="1" t="str">
        <f>"9781292041063"</f>
        <v>9781292041063</v>
      </c>
      <c r="D828" s="1" t="str">
        <f>"9781292056067"</f>
        <v>9781292056067</v>
      </c>
      <c r="E828" s="1" t="s">
        <v>52</v>
      </c>
      <c r="F828" s="1" t="s">
        <v>40</v>
      </c>
      <c r="G828" s="3">
        <v>41579</v>
      </c>
      <c r="H828" s="3">
        <v>1</v>
      </c>
      <c r="I828" s="1" t="s">
        <v>41</v>
      </c>
      <c r="J828" s="1">
        <v>1</v>
      </c>
      <c r="L828" s="1" t="s">
        <v>2717</v>
      </c>
      <c r="M828" s="1" t="s">
        <v>372</v>
      </c>
      <c r="O828" s="1">
        <v>305.23099999999999</v>
      </c>
      <c r="Q828" s="1" t="s">
        <v>46</v>
      </c>
      <c r="R828" s="1" t="s">
        <v>47</v>
      </c>
      <c r="S828" s="1" t="s">
        <v>47</v>
      </c>
      <c r="T828" s="1" t="s">
        <v>48</v>
      </c>
      <c r="U828" s="1" t="s">
        <v>47</v>
      </c>
      <c r="V828" s="1" t="s">
        <v>47</v>
      </c>
      <c r="W828" s="1" t="s">
        <v>47</v>
      </c>
      <c r="Z828" s="1">
        <v>0</v>
      </c>
      <c r="AB828" s="1" t="s">
        <v>47</v>
      </c>
      <c r="AD828" s="1">
        <v>543445</v>
      </c>
      <c r="AF828" s="1" t="s">
        <v>47</v>
      </c>
      <c r="AG828" s="1" t="s">
        <v>47</v>
      </c>
      <c r="AH828" s="1" t="s">
        <v>49</v>
      </c>
      <c r="AI828" s="1" t="s">
        <v>47</v>
      </c>
      <c r="AK828" s="1" t="s">
        <v>48</v>
      </c>
      <c r="AL828" s="1" t="s">
        <v>2718</v>
      </c>
    </row>
    <row r="829" spans="1:38">
      <c r="A829" s="1">
        <v>5139096</v>
      </c>
      <c r="B829" s="1" t="s">
        <v>2719</v>
      </c>
      <c r="C829" s="1" t="str">
        <f>"9781292041070"</f>
        <v>9781292041070</v>
      </c>
      <c r="D829" s="1" t="str">
        <f>"9781292056074"</f>
        <v>9781292056074</v>
      </c>
      <c r="E829" s="1" t="s">
        <v>52</v>
      </c>
      <c r="F829" s="1" t="s">
        <v>40</v>
      </c>
      <c r="G829" s="3">
        <v>41579</v>
      </c>
      <c r="H829" s="3">
        <v>1</v>
      </c>
      <c r="I829" s="1" t="s">
        <v>41</v>
      </c>
      <c r="J829" s="1">
        <v>6</v>
      </c>
      <c r="L829" s="1" t="s">
        <v>2720</v>
      </c>
      <c r="M829" s="1" t="s">
        <v>54</v>
      </c>
      <c r="O829" s="1">
        <v>372.12599999999998</v>
      </c>
      <c r="Q829" s="1" t="s">
        <v>46</v>
      </c>
      <c r="R829" s="1" t="s">
        <v>47</v>
      </c>
      <c r="S829" s="1" t="s">
        <v>47</v>
      </c>
      <c r="T829" s="1" t="s">
        <v>48</v>
      </c>
      <c r="U829" s="1" t="s">
        <v>47</v>
      </c>
      <c r="V829" s="1" t="s">
        <v>47</v>
      </c>
      <c r="W829" s="1" t="s">
        <v>47</v>
      </c>
      <c r="Z829" s="1">
        <v>0</v>
      </c>
      <c r="AB829" s="1" t="s">
        <v>47</v>
      </c>
      <c r="AD829" s="1">
        <v>543440</v>
      </c>
      <c r="AF829" s="1" t="s">
        <v>47</v>
      </c>
      <c r="AG829" s="1" t="s">
        <v>47</v>
      </c>
      <c r="AH829" s="1" t="s">
        <v>49</v>
      </c>
      <c r="AI829" s="1" t="s">
        <v>47</v>
      </c>
      <c r="AK829" s="1" t="s">
        <v>48</v>
      </c>
      <c r="AL829" s="1" t="s">
        <v>2721</v>
      </c>
    </row>
    <row r="830" spans="1:38">
      <c r="A830" s="1">
        <v>5139099</v>
      </c>
      <c r="B830" s="1" t="s">
        <v>2722</v>
      </c>
      <c r="C830" s="1" t="str">
        <f>"9781292020846"</f>
        <v>9781292020846</v>
      </c>
      <c r="D830" s="1" t="str">
        <f>"9781292034096"</f>
        <v>9781292034096</v>
      </c>
      <c r="E830" s="1" t="s">
        <v>52</v>
      </c>
      <c r="F830" s="1" t="s">
        <v>40</v>
      </c>
      <c r="G830" s="3">
        <v>41481</v>
      </c>
      <c r="H830" s="3">
        <v>1</v>
      </c>
      <c r="I830" s="1" t="s">
        <v>41</v>
      </c>
      <c r="J830" s="1">
        <v>12</v>
      </c>
      <c r="L830" s="1" t="s">
        <v>2723</v>
      </c>
      <c r="M830" s="1" t="s">
        <v>2724</v>
      </c>
      <c r="O830" s="1">
        <v>363.7</v>
      </c>
      <c r="Q830" s="1" t="s">
        <v>46</v>
      </c>
      <c r="R830" s="1" t="s">
        <v>47</v>
      </c>
      <c r="S830" s="1" t="s">
        <v>47</v>
      </c>
      <c r="T830" s="1" t="s">
        <v>48</v>
      </c>
      <c r="U830" s="1" t="s">
        <v>47</v>
      </c>
      <c r="V830" s="1" t="s">
        <v>47</v>
      </c>
      <c r="W830" s="1" t="s">
        <v>47</v>
      </c>
      <c r="Z830" s="1">
        <v>0</v>
      </c>
      <c r="AB830" s="1" t="s">
        <v>47</v>
      </c>
      <c r="AD830" s="1">
        <v>527327</v>
      </c>
      <c r="AF830" s="1" t="s">
        <v>47</v>
      </c>
      <c r="AG830" s="1" t="s">
        <v>47</v>
      </c>
      <c r="AH830" s="1" t="s">
        <v>49</v>
      </c>
      <c r="AI830" s="1" t="s">
        <v>47</v>
      </c>
      <c r="AK830" s="1" t="s">
        <v>48</v>
      </c>
      <c r="AL830" s="1" t="s">
        <v>2725</v>
      </c>
    </row>
    <row r="831" spans="1:38">
      <c r="A831" s="1">
        <v>5139101</v>
      </c>
      <c r="B831" s="1" t="s">
        <v>2726</v>
      </c>
      <c r="C831" s="1" t="str">
        <f>"9781292041773"</f>
        <v>9781292041773</v>
      </c>
      <c r="D831" s="1" t="str">
        <f>"9781292056081"</f>
        <v>9781292056081</v>
      </c>
      <c r="E831" s="1" t="s">
        <v>52</v>
      </c>
      <c r="F831" s="1" t="s">
        <v>40</v>
      </c>
      <c r="G831" s="3">
        <v>41579</v>
      </c>
      <c r="H831" s="3">
        <v>1</v>
      </c>
      <c r="I831" s="1" t="s">
        <v>41</v>
      </c>
      <c r="J831" s="1">
        <v>3</v>
      </c>
      <c r="L831" s="1" t="s">
        <v>2727</v>
      </c>
      <c r="M831" s="1" t="s">
        <v>162</v>
      </c>
      <c r="O831" s="1">
        <v>344.73079100000001</v>
      </c>
      <c r="Q831" s="1" t="s">
        <v>46</v>
      </c>
      <c r="R831" s="1" t="s">
        <v>47</v>
      </c>
      <c r="S831" s="1" t="s">
        <v>47</v>
      </c>
      <c r="T831" s="1" t="s">
        <v>48</v>
      </c>
      <c r="U831" s="1" t="s">
        <v>47</v>
      </c>
      <c r="V831" s="1" t="s">
        <v>47</v>
      </c>
      <c r="W831" s="1" t="s">
        <v>47</v>
      </c>
      <c r="Z831" s="1">
        <v>0</v>
      </c>
      <c r="AB831" s="1" t="s">
        <v>47</v>
      </c>
      <c r="AD831" s="1">
        <v>543352</v>
      </c>
      <c r="AF831" s="1" t="s">
        <v>47</v>
      </c>
      <c r="AG831" s="1" t="s">
        <v>47</v>
      </c>
      <c r="AH831" s="1" t="s">
        <v>49</v>
      </c>
      <c r="AI831" s="1" t="s">
        <v>47</v>
      </c>
      <c r="AK831" s="1" t="s">
        <v>48</v>
      </c>
      <c r="AL831" s="1" t="s">
        <v>2728</v>
      </c>
    </row>
    <row r="832" spans="1:38">
      <c r="A832" s="1">
        <v>5139103</v>
      </c>
      <c r="B832" s="1" t="s">
        <v>2729</v>
      </c>
      <c r="C832" s="1" t="str">
        <f>"9781292024394"</f>
        <v>9781292024394</v>
      </c>
      <c r="D832" s="1" t="str">
        <f>"9781292037288"</f>
        <v>9781292037288</v>
      </c>
      <c r="E832" s="1" t="s">
        <v>52</v>
      </c>
      <c r="F832" s="1" t="s">
        <v>40</v>
      </c>
      <c r="G832" s="3">
        <v>41484</v>
      </c>
      <c r="H832" s="3">
        <v>1</v>
      </c>
      <c r="I832" s="1" t="s">
        <v>41</v>
      </c>
      <c r="J832" s="1">
        <v>13</v>
      </c>
      <c r="L832" s="1" t="s">
        <v>2730</v>
      </c>
      <c r="M832" s="1" t="s">
        <v>1639</v>
      </c>
      <c r="O832" s="1">
        <v>530</v>
      </c>
      <c r="Q832" s="1" t="s">
        <v>46</v>
      </c>
      <c r="R832" s="1" t="s">
        <v>47</v>
      </c>
      <c r="S832" s="1" t="s">
        <v>47</v>
      </c>
      <c r="T832" s="1" t="s">
        <v>48</v>
      </c>
      <c r="U832" s="1" t="s">
        <v>47</v>
      </c>
      <c r="V832" s="1" t="s">
        <v>47</v>
      </c>
      <c r="W832" s="1" t="s">
        <v>47</v>
      </c>
      <c r="Z832" s="1">
        <v>0</v>
      </c>
      <c r="AB832" s="1" t="s">
        <v>47</v>
      </c>
      <c r="AD832" s="1">
        <v>527057</v>
      </c>
      <c r="AF832" s="1" t="s">
        <v>47</v>
      </c>
      <c r="AG832" s="1" t="s">
        <v>47</v>
      </c>
      <c r="AH832" s="1" t="s">
        <v>49</v>
      </c>
      <c r="AI832" s="1" t="s">
        <v>47</v>
      </c>
      <c r="AK832" s="1" t="s">
        <v>48</v>
      </c>
      <c r="AL832" s="1" t="s">
        <v>2731</v>
      </c>
    </row>
    <row r="833" spans="1:38">
      <c r="A833" s="1">
        <v>5139104</v>
      </c>
      <c r="B833" s="1" t="s">
        <v>2732</v>
      </c>
      <c r="C833" s="1" t="str">
        <f>"9781292021874"</f>
        <v>9781292021874</v>
      </c>
      <c r="D833" s="1" t="str">
        <f>"9781292035086"</f>
        <v>9781292035086</v>
      </c>
      <c r="E833" s="1" t="s">
        <v>52</v>
      </c>
      <c r="F833" s="1" t="s">
        <v>40</v>
      </c>
      <c r="G833" s="3">
        <v>41478</v>
      </c>
      <c r="H833" s="3">
        <v>43836</v>
      </c>
      <c r="I833" s="1" t="s">
        <v>41</v>
      </c>
      <c r="J833" s="1">
        <v>13</v>
      </c>
      <c r="L833" s="1" t="s">
        <v>2733</v>
      </c>
      <c r="M833" s="1" t="s">
        <v>1639</v>
      </c>
      <c r="O833" s="1">
        <v>530</v>
      </c>
      <c r="Q833" s="1" t="s">
        <v>46</v>
      </c>
      <c r="R833" s="1" t="s">
        <v>47</v>
      </c>
      <c r="S833" s="1" t="s">
        <v>47</v>
      </c>
      <c r="T833" s="1" t="s">
        <v>48</v>
      </c>
      <c r="U833" s="1" t="s">
        <v>47</v>
      </c>
      <c r="V833" s="1" t="s">
        <v>47</v>
      </c>
      <c r="W833" s="1" t="s">
        <v>47</v>
      </c>
      <c r="Z833" s="1">
        <v>0</v>
      </c>
      <c r="AB833" s="1" t="s">
        <v>47</v>
      </c>
      <c r="AD833" s="1">
        <v>527176</v>
      </c>
      <c r="AF833" s="1" t="s">
        <v>47</v>
      </c>
      <c r="AG833" s="1" t="s">
        <v>47</v>
      </c>
      <c r="AH833" s="1" t="s">
        <v>49</v>
      </c>
      <c r="AI833" s="1" t="s">
        <v>47</v>
      </c>
      <c r="AK833" s="1" t="s">
        <v>48</v>
      </c>
      <c r="AL833" s="1" t="s">
        <v>2734</v>
      </c>
    </row>
    <row r="834" spans="1:38">
      <c r="A834" s="1">
        <v>5139109</v>
      </c>
      <c r="B834" s="1" t="s">
        <v>2735</v>
      </c>
      <c r="C834" s="1" t="str">
        <f>"9781292024042"</f>
        <v>9781292024042</v>
      </c>
      <c r="D834" s="1" t="str">
        <f>"9781292037110"</f>
        <v>9781292037110</v>
      </c>
      <c r="E834" s="1" t="s">
        <v>52</v>
      </c>
      <c r="F834" s="1" t="s">
        <v>40</v>
      </c>
      <c r="G834" s="3">
        <v>41472</v>
      </c>
      <c r="H834" s="3">
        <v>1</v>
      </c>
      <c r="I834" s="1" t="s">
        <v>41</v>
      </c>
      <c r="J834" s="1">
        <v>5</v>
      </c>
      <c r="L834" s="1" t="s">
        <v>2736</v>
      </c>
      <c r="M834" s="1" t="s">
        <v>242</v>
      </c>
      <c r="O834" s="1">
        <v>519.5</v>
      </c>
      <c r="Q834" s="1" t="s">
        <v>46</v>
      </c>
      <c r="R834" s="1" t="s">
        <v>47</v>
      </c>
      <c r="S834" s="1" t="s">
        <v>47</v>
      </c>
      <c r="T834" s="1" t="s">
        <v>48</v>
      </c>
      <c r="U834" s="1" t="s">
        <v>47</v>
      </c>
      <c r="V834" s="1" t="s">
        <v>47</v>
      </c>
      <c r="W834" s="1" t="s">
        <v>47</v>
      </c>
      <c r="Z834" s="1">
        <v>0</v>
      </c>
      <c r="AB834" s="1" t="s">
        <v>47</v>
      </c>
      <c r="AD834" s="1">
        <v>527198</v>
      </c>
      <c r="AF834" s="1" t="s">
        <v>47</v>
      </c>
      <c r="AG834" s="1" t="s">
        <v>47</v>
      </c>
      <c r="AH834" s="1" t="s">
        <v>49</v>
      </c>
      <c r="AI834" s="1" t="s">
        <v>47</v>
      </c>
      <c r="AK834" s="1" t="s">
        <v>48</v>
      </c>
      <c r="AL834" s="1" t="s">
        <v>2737</v>
      </c>
    </row>
    <row r="835" spans="1:38">
      <c r="A835" s="1">
        <v>5139111</v>
      </c>
      <c r="B835" s="1" t="s">
        <v>2738</v>
      </c>
      <c r="C835" s="1" t="str">
        <f>""</f>
        <v/>
      </c>
      <c r="D835" s="1" t="str">
        <f>"9780273775454"</f>
        <v>9780273775454</v>
      </c>
      <c r="E835" s="1" t="s">
        <v>52</v>
      </c>
      <c r="F835" s="1" t="s">
        <v>365</v>
      </c>
      <c r="G835" s="3">
        <v>41353</v>
      </c>
      <c r="H835" s="3">
        <v>1</v>
      </c>
      <c r="I835" s="1" t="s">
        <v>41</v>
      </c>
      <c r="J835" s="1">
        <v>1</v>
      </c>
      <c r="L835" s="1" t="s">
        <v>2739</v>
      </c>
      <c r="Q835" s="1" t="s">
        <v>46</v>
      </c>
      <c r="R835" s="1" t="s">
        <v>47</v>
      </c>
      <c r="S835" s="1" t="s">
        <v>47</v>
      </c>
      <c r="T835" s="1" t="s">
        <v>48</v>
      </c>
      <c r="U835" s="1" t="s">
        <v>47</v>
      </c>
      <c r="V835" s="1" t="s">
        <v>47</v>
      </c>
      <c r="W835" s="1" t="s">
        <v>47</v>
      </c>
      <c r="Z835" s="1">
        <v>0</v>
      </c>
      <c r="AB835" s="1" t="s">
        <v>47</v>
      </c>
      <c r="AD835" s="1">
        <v>469799</v>
      </c>
      <c r="AF835" s="1" t="s">
        <v>47</v>
      </c>
      <c r="AG835" s="1" t="s">
        <v>47</v>
      </c>
      <c r="AH835" s="1" t="s">
        <v>49</v>
      </c>
      <c r="AI835" s="1" t="s">
        <v>47</v>
      </c>
      <c r="AK835" s="1" t="s">
        <v>48</v>
      </c>
      <c r="AL835" s="1" t="s">
        <v>2740</v>
      </c>
    </row>
    <row r="836" spans="1:38">
      <c r="A836" s="1">
        <v>5139113</v>
      </c>
      <c r="B836" s="1" t="s">
        <v>2741</v>
      </c>
      <c r="C836" s="1" t="str">
        <f>"9781292040301"</f>
        <v>9781292040301</v>
      </c>
      <c r="D836" s="1" t="str">
        <f>"9781292051765"</f>
        <v>9781292051765</v>
      </c>
      <c r="E836" s="1" t="s">
        <v>52</v>
      </c>
      <c r="F836" s="1" t="s">
        <v>40</v>
      </c>
      <c r="G836" s="3">
        <v>41579</v>
      </c>
      <c r="H836" s="3">
        <v>1</v>
      </c>
      <c r="I836" s="1" t="s">
        <v>41</v>
      </c>
      <c r="J836" s="1">
        <v>9</v>
      </c>
      <c r="L836" s="1" t="s">
        <v>2742</v>
      </c>
      <c r="M836" s="1" t="s">
        <v>372</v>
      </c>
      <c r="O836" s="1">
        <v>306.85000000000002</v>
      </c>
      <c r="Q836" s="1" t="s">
        <v>46</v>
      </c>
      <c r="R836" s="1" t="s">
        <v>47</v>
      </c>
      <c r="S836" s="1" t="s">
        <v>47</v>
      </c>
      <c r="T836" s="1" t="s">
        <v>48</v>
      </c>
      <c r="U836" s="1" t="s">
        <v>47</v>
      </c>
      <c r="V836" s="1" t="s">
        <v>47</v>
      </c>
      <c r="W836" s="1" t="s">
        <v>47</v>
      </c>
      <c r="Z836" s="1">
        <v>0</v>
      </c>
      <c r="AB836" s="1" t="s">
        <v>47</v>
      </c>
      <c r="AD836" s="1">
        <v>543533</v>
      </c>
      <c r="AF836" s="1" t="s">
        <v>47</v>
      </c>
      <c r="AG836" s="1" t="s">
        <v>47</v>
      </c>
      <c r="AH836" s="1" t="s">
        <v>49</v>
      </c>
      <c r="AI836" s="1" t="s">
        <v>47</v>
      </c>
      <c r="AK836" s="1" t="s">
        <v>48</v>
      </c>
      <c r="AL836" s="1" t="s">
        <v>2743</v>
      </c>
    </row>
    <row r="837" spans="1:38">
      <c r="A837" s="1">
        <v>5139114</v>
      </c>
      <c r="B837" s="1" t="s">
        <v>2433</v>
      </c>
      <c r="C837" s="1" t="str">
        <f>"9781292021553"</f>
        <v>9781292021553</v>
      </c>
      <c r="D837" s="1" t="str">
        <f>"9781292034782"</f>
        <v>9781292034782</v>
      </c>
      <c r="E837" s="1" t="s">
        <v>52</v>
      </c>
      <c r="F837" s="1" t="s">
        <v>40</v>
      </c>
      <c r="G837" s="3">
        <v>41513</v>
      </c>
      <c r="H837" s="3">
        <v>1</v>
      </c>
      <c r="I837" s="1" t="s">
        <v>41</v>
      </c>
      <c r="J837" s="1">
        <v>6</v>
      </c>
      <c r="L837" s="1" t="s">
        <v>2744</v>
      </c>
      <c r="Q837" s="1" t="s">
        <v>46</v>
      </c>
      <c r="R837" s="1" t="s">
        <v>47</v>
      </c>
      <c r="S837" s="1" t="s">
        <v>47</v>
      </c>
      <c r="T837" s="1" t="s">
        <v>48</v>
      </c>
      <c r="U837" s="1" t="s">
        <v>47</v>
      </c>
      <c r="V837" s="1" t="s">
        <v>47</v>
      </c>
      <c r="W837" s="1" t="s">
        <v>47</v>
      </c>
      <c r="Z837" s="1">
        <v>0</v>
      </c>
      <c r="AB837" s="1" t="s">
        <v>47</v>
      </c>
      <c r="AD837" s="1">
        <v>527039</v>
      </c>
      <c r="AF837" s="1" t="s">
        <v>47</v>
      </c>
      <c r="AG837" s="1" t="s">
        <v>47</v>
      </c>
      <c r="AH837" s="1" t="s">
        <v>49</v>
      </c>
      <c r="AI837" s="1" t="s">
        <v>47</v>
      </c>
      <c r="AK837" s="1" t="s">
        <v>48</v>
      </c>
      <c r="AL837" s="1" t="s">
        <v>2745</v>
      </c>
    </row>
    <row r="838" spans="1:38">
      <c r="A838" s="1">
        <v>5139226</v>
      </c>
      <c r="B838" s="1" t="s">
        <v>2746</v>
      </c>
      <c r="C838" s="1" t="str">
        <f>"9780273710219"</f>
        <v>9780273710219</v>
      </c>
      <c r="D838" s="1" t="str">
        <f>"9781405893763"</f>
        <v>9781405893763</v>
      </c>
      <c r="E838" s="1" t="s">
        <v>52</v>
      </c>
      <c r="F838" s="1" t="s">
        <v>52</v>
      </c>
      <c r="G838" s="3">
        <v>39022</v>
      </c>
      <c r="H838" s="3">
        <v>1</v>
      </c>
      <c r="I838" s="1" t="s">
        <v>41</v>
      </c>
      <c r="L838" s="1" t="s">
        <v>1084</v>
      </c>
      <c r="M838" s="1" t="s">
        <v>100</v>
      </c>
      <c r="N838" s="1" t="s">
        <v>101</v>
      </c>
      <c r="O838" s="1">
        <v>158.1</v>
      </c>
      <c r="Q838" s="1" t="s">
        <v>46</v>
      </c>
      <c r="R838" s="1" t="s">
        <v>47</v>
      </c>
      <c r="S838" s="1" t="s">
        <v>47</v>
      </c>
      <c r="T838" s="1" t="s">
        <v>48</v>
      </c>
      <c r="U838" s="1" t="s">
        <v>47</v>
      </c>
      <c r="V838" s="1" t="s">
        <v>47</v>
      </c>
      <c r="W838" s="1" t="s">
        <v>47</v>
      </c>
      <c r="Z838" s="1">
        <v>0</v>
      </c>
      <c r="AB838" s="1" t="s">
        <v>47</v>
      </c>
      <c r="AD838" s="1">
        <v>115702</v>
      </c>
      <c r="AF838" s="1" t="s">
        <v>47</v>
      </c>
      <c r="AG838" s="1" t="s">
        <v>47</v>
      </c>
      <c r="AH838" s="1" t="s">
        <v>49</v>
      </c>
      <c r="AI838" s="1" t="s">
        <v>47</v>
      </c>
      <c r="AK838" s="1" t="s">
        <v>48</v>
      </c>
      <c r="AL838" s="1" t="s">
        <v>2747</v>
      </c>
    </row>
    <row r="839" spans="1:38">
      <c r="A839" s="1">
        <v>5139260</v>
      </c>
      <c r="B839" s="1" t="s">
        <v>2748</v>
      </c>
      <c r="C839" s="1" t="str">
        <f>"9780273720454"</f>
        <v>9780273720454</v>
      </c>
      <c r="D839" s="1" t="str">
        <f>"9780273720539"</f>
        <v>9780273720539</v>
      </c>
      <c r="E839" s="1" t="s">
        <v>52</v>
      </c>
      <c r="F839" s="1" t="s">
        <v>52</v>
      </c>
      <c r="G839" s="3">
        <v>39814</v>
      </c>
      <c r="H839" s="3">
        <v>1</v>
      </c>
      <c r="I839" s="1" t="s">
        <v>41</v>
      </c>
      <c r="L839" s="1" t="s">
        <v>2749</v>
      </c>
      <c r="M839" s="1" t="s">
        <v>59</v>
      </c>
      <c r="N839" s="1" t="s">
        <v>2750</v>
      </c>
      <c r="O839" s="1">
        <v>658.40599999999995</v>
      </c>
      <c r="Q839" s="1" t="s">
        <v>46</v>
      </c>
      <c r="R839" s="1" t="s">
        <v>47</v>
      </c>
      <c r="S839" s="1" t="s">
        <v>47</v>
      </c>
      <c r="T839" s="1" t="s">
        <v>48</v>
      </c>
      <c r="U839" s="1" t="s">
        <v>47</v>
      </c>
      <c r="V839" s="1" t="s">
        <v>47</v>
      </c>
      <c r="W839" s="1" t="s">
        <v>47</v>
      </c>
      <c r="Z839" s="1">
        <v>0</v>
      </c>
      <c r="AB839" s="1" t="s">
        <v>47</v>
      </c>
      <c r="AD839" s="1">
        <v>207082</v>
      </c>
      <c r="AF839" s="1" t="s">
        <v>47</v>
      </c>
      <c r="AG839" s="1" t="s">
        <v>47</v>
      </c>
      <c r="AH839" s="1" t="s">
        <v>49</v>
      </c>
      <c r="AI839" s="1" t="s">
        <v>47</v>
      </c>
      <c r="AK839" s="1" t="s">
        <v>48</v>
      </c>
      <c r="AL839" s="1" t="s">
        <v>2751</v>
      </c>
    </row>
    <row r="840" spans="1:38">
      <c r="A840" s="1">
        <v>5139266</v>
      </c>
      <c r="B840" s="1" t="s">
        <v>2752</v>
      </c>
      <c r="C840" s="1" t="str">
        <f>"9780273721536"</f>
        <v>9780273721536</v>
      </c>
      <c r="D840" s="1" t="str">
        <f>"9780273729266"</f>
        <v>9780273729266</v>
      </c>
      <c r="E840" s="1" t="s">
        <v>52</v>
      </c>
      <c r="F840" s="1" t="s">
        <v>52</v>
      </c>
      <c r="G840" s="3">
        <v>39804</v>
      </c>
      <c r="H840" s="3">
        <v>1</v>
      </c>
      <c r="I840" s="1" t="s">
        <v>41</v>
      </c>
      <c r="J840" s="1">
        <v>1</v>
      </c>
      <c r="L840" s="1" t="s">
        <v>2753</v>
      </c>
      <c r="M840" s="1" t="s">
        <v>556</v>
      </c>
      <c r="N840" s="1" t="s">
        <v>2754</v>
      </c>
      <c r="O840" s="1">
        <v>6.76</v>
      </c>
      <c r="P840" s="1" t="s">
        <v>2755</v>
      </c>
      <c r="Q840" s="1" t="s">
        <v>46</v>
      </c>
      <c r="R840" s="1" t="s">
        <v>47</v>
      </c>
      <c r="S840" s="1" t="s">
        <v>47</v>
      </c>
      <c r="T840" s="1" t="s">
        <v>48</v>
      </c>
      <c r="U840" s="1" t="s">
        <v>47</v>
      </c>
      <c r="V840" s="1" t="s">
        <v>47</v>
      </c>
      <c r="W840" s="1" t="s">
        <v>47</v>
      </c>
      <c r="Z840" s="1">
        <v>0</v>
      </c>
      <c r="AB840" s="1" t="s">
        <v>47</v>
      </c>
      <c r="AD840" s="1">
        <v>211874</v>
      </c>
      <c r="AF840" s="1" t="s">
        <v>47</v>
      </c>
      <c r="AG840" s="1" t="s">
        <v>47</v>
      </c>
      <c r="AH840" s="1" t="s">
        <v>49</v>
      </c>
      <c r="AI840" s="1" t="s">
        <v>47</v>
      </c>
      <c r="AK840" s="1" t="s">
        <v>48</v>
      </c>
      <c r="AL840" s="1" t="s">
        <v>2756</v>
      </c>
    </row>
    <row r="841" spans="1:38">
      <c r="A841" s="1">
        <v>5139543</v>
      </c>
      <c r="B841" s="1" t="s">
        <v>2757</v>
      </c>
      <c r="C841" s="1" t="str">
        <f>"9780273711780"</f>
        <v>9780273711780</v>
      </c>
      <c r="D841" s="1" t="str">
        <f>"9781408250419"</f>
        <v>9781408250419</v>
      </c>
      <c r="E841" s="1" t="s">
        <v>52</v>
      </c>
      <c r="F841" s="1" t="s">
        <v>52</v>
      </c>
      <c r="G841" s="3">
        <v>39083</v>
      </c>
      <c r="H841" s="3">
        <v>1</v>
      </c>
      <c r="I841" s="1" t="s">
        <v>41</v>
      </c>
      <c r="L841" s="1" t="s">
        <v>2758</v>
      </c>
      <c r="M841" s="1" t="s">
        <v>1433</v>
      </c>
      <c r="N841" s="1" t="s">
        <v>2759</v>
      </c>
      <c r="O841" s="1">
        <v>158.1</v>
      </c>
      <c r="Q841" s="1" t="s">
        <v>46</v>
      </c>
      <c r="R841" s="1" t="s">
        <v>47</v>
      </c>
      <c r="S841" s="1" t="s">
        <v>47</v>
      </c>
      <c r="T841" s="1" t="s">
        <v>48</v>
      </c>
      <c r="U841" s="1" t="s">
        <v>47</v>
      </c>
      <c r="V841" s="1" t="s">
        <v>47</v>
      </c>
      <c r="W841" s="1" t="s">
        <v>47</v>
      </c>
      <c r="Z841" s="1">
        <v>0</v>
      </c>
      <c r="AB841" s="1" t="s">
        <v>47</v>
      </c>
      <c r="AD841" s="1">
        <v>183006</v>
      </c>
      <c r="AF841" s="1" t="s">
        <v>47</v>
      </c>
      <c r="AG841" s="1" t="s">
        <v>47</v>
      </c>
      <c r="AH841" s="1" t="s">
        <v>49</v>
      </c>
      <c r="AI841" s="1" t="s">
        <v>47</v>
      </c>
      <c r="AK841" s="1" t="s">
        <v>48</v>
      </c>
      <c r="AL841" s="1" t="s">
        <v>2760</v>
      </c>
    </row>
    <row r="842" spans="1:38">
      <c r="A842" s="1">
        <v>5139566</v>
      </c>
      <c r="B842" s="1" t="s">
        <v>2761</v>
      </c>
      <c r="C842" s="1" t="str">
        <f>"9780273663607"</f>
        <v>9780273663607</v>
      </c>
      <c r="D842" s="1" t="str">
        <f>"9781405894180"</f>
        <v>9781405894180</v>
      </c>
      <c r="E842" s="1" t="s">
        <v>52</v>
      </c>
      <c r="F842" s="1" t="s">
        <v>52</v>
      </c>
      <c r="G842" s="3">
        <v>37656</v>
      </c>
      <c r="H842" s="3">
        <v>1</v>
      </c>
      <c r="I842" s="1" t="s">
        <v>41</v>
      </c>
      <c r="L842" s="1" t="s">
        <v>2762</v>
      </c>
      <c r="M842" s="1" t="s">
        <v>59</v>
      </c>
      <c r="O842" s="1">
        <v>650.14</v>
      </c>
      <c r="Q842" s="1" t="s">
        <v>46</v>
      </c>
      <c r="R842" s="1" t="s">
        <v>47</v>
      </c>
      <c r="S842" s="1" t="s">
        <v>47</v>
      </c>
      <c r="T842" s="1" t="s">
        <v>48</v>
      </c>
      <c r="U842" s="1" t="s">
        <v>47</v>
      </c>
      <c r="V842" s="1" t="s">
        <v>47</v>
      </c>
      <c r="W842" s="1" t="s">
        <v>47</v>
      </c>
      <c r="Z842" s="1">
        <v>0</v>
      </c>
      <c r="AB842" s="1" t="s">
        <v>47</v>
      </c>
      <c r="AD842" s="1">
        <v>115714</v>
      </c>
      <c r="AF842" s="1" t="s">
        <v>47</v>
      </c>
      <c r="AG842" s="1" t="s">
        <v>47</v>
      </c>
      <c r="AH842" s="1" t="s">
        <v>49</v>
      </c>
      <c r="AI842" s="1" t="s">
        <v>47</v>
      </c>
      <c r="AK842" s="1" t="s">
        <v>48</v>
      </c>
      <c r="AL842" s="1" t="s">
        <v>2763</v>
      </c>
    </row>
    <row r="843" spans="1:38">
      <c r="A843" s="1">
        <v>5139587</v>
      </c>
      <c r="B843" s="1" t="s">
        <v>2764</v>
      </c>
      <c r="C843" s="1" t="str">
        <f>"9780273714231"</f>
        <v>9780273714231</v>
      </c>
      <c r="D843" s="1" t="str">
        <f>"9781408250648"</f>
        <v>9781408250648</v>
      </c>
      <c r="E843" s="1" t="s">
        <v>52</v>
      </c>
      <c r="F843" s="1" t="s">
        <v>52</v>
      </c>
      <c r="G843" s="3">
        <v>39083</v>
      </c>
      <c r="H843" s="3">
        <v>1</v>
      </c>
      <c r="I843" s="1" t="s">
        <v>41</v>
      </c>
      <c r="L843" s="1" t="s">
        <v>2765</v>
      </c>
      <c r="M843" s="1" t="s">
        <v>59</v>
      </c>
      <c r="O843" s="1">
        <v>650.11</v>
      </c>
      <c r="Q843" s="1" t="s">
        <v>46</v>
      </c>
      <c r="R843" s="1" t="s">
        <v>47</v>
      </c>
      <c r="S843" s="1" t="s">
        <v>47</v>
      </c>
      <c r="T843" s="1" t="s">
        <v>48</v>
      </c>
      <c r="U843" s="1" t="s">
        <v>47</v>
      </c>
      <c r="V843" s="1" t="s">
        <v>47</v>
      </c>
      <c r="W843" s="1" t="s">
        <v>47</v>
      </c>
      <c r="Z843" s="1">
        <v>0</v>
      </c>
      <c r="AB843" s="1" t="s">
        <v>47</v>
      </c>
      <c r="AD843" s="1">
        <v>183029</v>
      </c>
      <c r="AF843" s="1" t="s">
        <v>47</v>
      </c>
      <c r="AG843" s="1" t="s">
        <v>47</v>
      </c>
      <c r="AH843" s="1" t="s">
        <v>49</v>
      </c>
      <c r="AI843" s="1" t="s">
        <v>47</v>
      </c>
      <c r="AK843" s="1" t="s">
        <v>48</v>
      </c>
      <c r="AL843" s="1" t="s">
        <v>2766</v>
      </c>
    </row>
    <row r="844" spans="1:38">
      <c r="A844" s="1">
        <v>5139599</v>
      </c>
      <c r="B844" s="1" t="s">
        <v>2767</v>
      </c>
      <c r="C844" s="1" t="str">
        <f>"9780273708292"</f>
        <v>9780273708292</v>
      </c>
      <c r="D844" s="1" t="str">
        <f>"9781405894265"</f>
        <v>9781405894265</v>
      </c>
      <c r="E844" s="1" t="s">
        <v>52</v>
      </c>
      <c r="F844" s="1" t="s">
        <v>52</v>
      </c>
      <c r="G844" s="3">
        <v>38939</v>
      </c>
      <c r="H844" s="3">
        <v>1</v>
      </c>
      <c r="I844" s="1" t="s">
        <v>41</v>
      </c>
      <c r="L844" s="1" t="s">
        <v>94</v>
      </c>
      <c r="M844" s="1" t="s">
        <v>256</v>
      </c>
      <c r="N844" s="1" t="s">
        <v>95</v>
      </c>
      <c r="O844" s="1">
        <v>338.04</v>
      </c>
      <c r="P844" s="1" t="s">
        <v>2768</v>
      </c>
      <c r="Q844" s="1" t="s">
        <v>46</v>
      </c>
      <c r="R844" s="1" t="s">
        <v>47</v>
      </c>
      <c r="S844" s="1" t="s">
        <v>47</v>
      </c>
      <c r="T844" s="1" t="s">
        <v>48</v>
      </c>
      <c r="U844" s="1" t="s">
        <v>47</v>
      </c>
      <c r="V844" s="1" t="s">
        <v>47</v>
      </c>
      <c r="W844" s="1" t="s">
        <v>47</v>
      </c>
      <c r="Z844" s="1">
        <v>0</v>
      </c>
      <c r="AB844" s="1" t="s">
        <v>47</v>
      </c>
      <c r="AD844" s="1">
        <v>115738</v>
      </c>
      <c r="AF844" s="1" t="s">
        <v>47</v>
      </c>
      <c r="AG844" s="1" t="s">
        <v>47</v>
      </c>
      <c r="AH844" s="1" t="s">
        <v>49</v>
      </c>
      <c r="AI844" s="1" t="s">
        <v>47</v>
      </c>
      <c r="AK844" s="1" t="s">
        <v>48</v>
      </c>
      <c r="AL844" s="1" t="s">
        <v>2769</v>
      </c>
    </row>
    <row r="845" spans="1:38">
      <c r="A845" s="1">
        <v>5139659</v>
      </c>
      <c r="B845" s="1" t="s">
        <v>2770</v>
      </c>
      <c r="C845" s="1" t="str">
        <f>"9780273720980"</f>
        <v>9780273720980</v>
      </c>
      <c r="D845" s="1" t="str">
        <f>"9780273720997"</f>
        <v>9780273720997</v>
      </c>
      <c r="E845" s="1" t="s">
        <v>52</v>
      </c>
      <c r="F845" s="1" t="s">
        <v>52</v>
      </c>
      <c r="G845" s="3">
        <v>39786</v>
      </c>
      <c r="H845" s="3">
        <v>1</v>
      </c>
      <c r="I845" s="1" t="s">
        <v>41</v>
      </c>
      <c r="J845" s="1">
        <v>2</v>
      </c>
      <c r="L845" s="1" t="s">
        <v>2771</v>
      </c>
      <c r="M845" s="1" t="s">
        <v>256</v>
      </c>
      <c r="N845" s="1" t="s">
        <v>2772</v>
      </c>
      <c r="O845" s="1">
        <v>338.04</v>
      </c>
      <c r="P845" s="1" t="s">
        <v>2768</v>
      </c>
      <c r="Q845" s="1" t="s">
        <v>46</v>
      </c>
      <c r="R845" s="1" t="s">
        <v>47</v>
      </c>
      <c r="S845" s="1" t="s">
        <v>47</v>
      </c>
      <c r="T845" s="1" t="s">
        <v>48</v>
      </c>
      <c r="U845" s="1" t="s">
        <v>47</v>
      </c>
      <c r="V845" s="1" t="s">
        <v>47</v>
      </c>
      <c r="W845" s="1" t="s">
        <v>47</v>
      </c>
      <c r="Z845" s="1">
        <v>0</v>
      </c>
      <c r="AB845" s="1" t="s">
        <v>47</v>
      </c>
      <c r="AD845" s="1">
        <v>207089</v>
      </c>
      <c r="AF845" s="1" t="s">
        <v>47</v>
      </c>
      <c r="AG845" s="1" t="s">
        <v>47</v>
      </c>
      <c r="AH845" s="1" t="s">
        <v>49</v>
      </c>
      <c r="AI845" s="1" t="s">
        <v>47</v>
      </c>
      <c r="AK845" s="1" t="s">
        <v>48</v>
      </c>
      <c r="AL845" s="1" t="s">
        <v>2773</v>
      </c>
    </row>
    <row r="846" spans="1:38">
      <c r="A846" s="1">
        <v>5139660</v>
      </c>
      <c r="B846" s="1" t="s">
        <v>2774</v>
      </c>
      <c r="C846" s="1" t="str">
        <f>"9780273706021"</f>
        <v>9780273706021</v>
      </c>
      <c r="D846" s="1" t="str">
        <f>"9781405894081"</f>
        <v>9781405894081</v>
      </c>
      <c r="E846" s="1" t="s">
        <v>52</v>
      </c>
      <c r="F846" s="1" t="s">
        <v>52</v>
      </c>
      <c r="G846" s="3">
        <v>38718</v>
      </c>
      <c r="H846" s="3">
        <v>1</v>
      </c>
      <c r="I846" s="1" t="s">
        <v>41</v>
      </c>
      <c r="L846" s="1" t="s">
        <v>2775</v>
      </c>
      <c r="M846" s="1" t="s">
        <v>59</v>
      </c>
      <c r="N846" s="1" t="s">
        <v>95</v>
      </c>
      <c r="O846" s="1">
        <v>658.11</v>
      </c>
      <c r="Q846" s="1" t="s">
        <v>46</v>
      </c>
      <c r="R846" s="1" t="s">
        <v>47</v>
      </c>
      <c r="S846" s="1" t="s">
        <v>47</v>
      </c>
      <c r="T846" s="1" t="s">
        <v>48</v>
      </c>
      <c r="U846" s="1" t="s">
        <v>47</v>
      </c>
      <c r="V846" s="1" t="s">
        <v>47</v>
      </c>
      <c r="W846" s="1" t="s">
        <v>47</v>
      </c>
      <c r="Z846" s="1">
        <v>0</v>
      </c>
      <c r="AB846" s="1" t="s">
        <v>47</v>
      </c>
      <c r="AD846" s="1">
        <v>115695</v>
      </c>
      <c r="AF846" s="1" t="s">
        <v>47</v>
      </c>
      <c r="AG846" s="1" t="s">
        <v>47</v>
      </c>
      <c r="AH846" s="1" t="s">
        <v>49</v>
      </c>
      <c r="AI846" s="1" t="s">
        <v>47</v>
      </c>
      <c r="AK846" s="1" t="s">
        <v>48</v>
      </c>
      <c r="AL846" s="1" t="s">
        <v>2776</v>
      </c>
    </row>
    <row r="847" spans="1:38">
      <c r="A847" s="1">
        <v>5139685</v>
      </c>
      <c r="B847" s="1" t="s">
        <v>2777</v>
      </c>
      <c r="C847" s="1" t="str">
        <f>"9780273662952"</f>
        <v>9780273662952</v>
      </c>
      <c r="D847" s="1" t="str">
        <f>"9781405870597"</f>
        <v>9781405870597</v>
      </c>
      <c r="E847" s="1" t="s">
        <v>52</v>
      </c>
      <c r="F847" s="1" t="s">
        <v>52</v>
      </c>
      <c r="G847" s="3">
        <v>37769</v>
      </c>
      <c r="H847" s="3">
        <v>1</v>
      </c>
      <c r="I847" s="1" t="s">
        <v>41</v>
      </c>
      <c r="J847" s="1">
        <v>2</v>
      </c>
      <c r="L847" s="1" t="s">
        <v>2778</v>
      </c>
      <c r="M847" s="1" t="s">
        <v>950</v>
      </c>
      <c r="N847" s="1" t="s">
        <v>2779</v>
      </c>
      <c r="O847" s="1">
        <v>332.45</v>
      </c>
      <c r="P847" s="1" t="s">
        <v>2780</v>
      </c>
      <c r="Q847" s="1" t="s">
        <v>46</v>
      </c>
      <c r="R847" s="1" t="s">
        <v>47</v>
      </c>
      <c r="S847" s="1" t="s">
        <v>47</v>
      </c>
      <c r="T847" s="1" t="s">
        <v>48</v>
      </c>
      <c r="U847" s="1" t="s">
        <v>47</v>
      </c>
      <c r="V847" s="1" t="s">
        <v>47</v>
      </c>
      <c r="W847" s="1" t="s">
        <v>47</v>
      </c>
      <c r="Z847" s="1">
        <v>0</v>
      </c>
      <c r="AB847" s="1" t="s">
        <v>47</v>
      </c>
      <c r="AD847" s="1">
        <v>60055</v>
      </c>
      <c r="AF847" s="1" t="s">
        <v>47</v>
      </c>
      <c r="AG847" s="1" t="s">
        <v>47</v>
      </c>
      <c r="AH847" s="1" t="s">
        <v>49</v>
      </c>
      <c r="AI847" s="1" t="s">
        <v>47</v>
      </c>
      <c r="AK847" s="1" t="s">
        <v>48</v>
      </c>
      <c r="AL847" s="1" t="s">
        <v>2781</v>
      </c>
    </row>
    <row r="848" spans="1:38">
      <c r="A848" s="1">
        <v>5139717</v>
      </c>
      <c r="B848" s="1" t="s">
        <v>2782</v>
      </c>
      <c r="C848" s="1" t="str">
        <f>"9780273718383"</f>
        <v>9780273718383</v>
      </c>
      <c r="D848" s="1" t="str">
        <f>"9780273719984"</f>
        <v>9780273719984</v>
      </c>
      <c r="E848" s="1" t="s">
        <v>52</v>
      </c>
      <c r="F848" s="1" t="s">
        <v>52</v>
      </c>
      <c r="G848" s="3">
        <v>39695</v>
      </c>
      <c r="H848" s="3">
        <v>1</v>
      </c>
      <c r="I848" s="1" t="s">
        <v>41</v>
      </c>
      <c r="L848" s="1" t="s">
        <v>2783</v>
      </c>
      <c r="M848" s="1" t="s">
        <v>59</v>
      </c>
      <c r="N848" s="1" t="s">
        <v>95</v>
      </c>
      <c r="O848" s="1">
        <v>658.42100000000005</v>
      </c>
      <c r="P848" s="1" t="s">
        <v>2784</v>
      </c>
      <c r="Q848" s="1" t="s">
        <v>46</v>
      </c>
      <c r="R848" s="1" t="s">
        <v>47</v>
      </c>
      <c r="S848" s="1" t="s">
        <v>47</v>
      </c>
      <c r="T848" s="1" t="s">
        <v>48</v>
      </c>
      <c r="U848" s="1" t="s">
        <v>47</v>
      </c>
      <c r="V848" s="1" t="s">
        <v>47</v>
      </c>
      <c r="W848" s="1" t="s">
        <v>47</v>
      </c>
      <c r="Z848" s="1">
        <v>0</v>
      </c>
      <c r="AB848" s="1" t="s">
        <v>47</v>
      </c>
      <c r="AD848" s="1">
        <v>207077</v>
      </c>
      <c r="AF848" s="1" t="s">
        <v>47</v>
      </c>
      <c r="AG848" s="1" t="s">
        <v>47</v>
      </c>
      <c r="AH848" s="1" t="s">
        <v>49</v>
      </c>
      <c r="AI848" s="1" t="s">
        <v>47</v>
      </c>
      <c r="AK848" s="1" t="s">
        <v>48</v>
      </c>
      <c r="AL848" s="1" t="s">
        <v>2785</v>
      </c>
    </row>
    <row r="849" spans="1:38">
      <c r="A849" s="1">
        <v>5139745</v>
      </c>
      <c r="B849" s="1" t="s">
        <v>2786</v>
      </c>
      <c r="C849" s="1" t="str">
        <f>"9780273712527"</f>
        <v>9780273712527</v>
      </c>
      <c r="D849" s="1" t="str">
        <f>"9781408212141"</f>
        <v>9781408212141</v>
      </c>
      <c r="E849" s="1" t="s">
        <v>52</v>
      </c>
      <c r="F849" s="1" t="s">
        <v>52</v>
      </c>
      <c r="G849" s="3">
        <v>39282</v>
      </c>
      <c r="H849" s="3">
        <v>1</v>
      </c>
      <c r="I849" s="1" t="s">
        <v>41</v>
      </c>
      <c r="J849" s="1">
        <v>2</v>
      </c>
      <c r="L849" s="1" t="s">
        <v>117</v>
      </c>
      <c r="M849" s="1" t="s">
        <v>59</v>
      </c>
      <c r="N849" s="1" t="s">
        <v>95</v>
      </c>
      <c r="O849" s="1">
        <v>658.11</v>
      </c>
      <c r="Q849" s="1" t="s">
        <v>46</v>
      </c>
      <c r="R849" s="1" t="s">
        <v>47</v>
      </c>
      <c r="S849" s="1" t="s">
        <v>47</v>
      </c>
      <c r="T849" s="1" t="s">
        <v>48</v>
      </c>
      <c r="U849" s="1" t="s">
        <v>47</v>
      </c>
      <c r="V849" s="1" t="s">
        <v>47</v>
      </c>
      <c r="W849" s="1" t="s">
        <v>47</v>
      </c>
      <c r="Z849" s="1">
        <v>0</v>
      </c>
      <c r="AB849" s="1" t="s">
        <v>47</v>
      </c>
      <c r="AD849" s="1">
        <v>155265</v>
      </c>
      <c r="AF849" s="1" t="s">
        <v>47</v>
      </c>
      <c r="AG849" s="1" t="s">
        <v>47</v>
      </c>
      <c r="AH849" s="1" t="s">
        <v>49</v>
      </c>
      <c r="AI849" s="1" t="s">
        <v>47</v>
      </c>
      <c r="AK849" s="1" t="s">
        <v>48</v>
      </c>
      <c r="AL849" s="1" t="s">
        <v>2787</v>
      </c>
    </row>
    <row r="850" spans="1:38">
      <c r="A850" s="1">
        <v>5139749</v>
      </c>
      <c r="B850" s="1" t="s">
        <v>2788</v>
      </c>
      <c r="C850" s="1" t="str">
        <f>"9780273744542"</f>
        <v>9780273744542</v>
      </c>
      <c r="D850" s="1" t="str">
        <f>"9780273744672"</f>
        <v>9780273744672</v>
      </c>
      <c r="E850" s="1" t="s">
        <v>52</v>
      </c>
      <c r="F850" s="1" t="s">
        <v>57</v>
      </c>
      <c r="G850" s="3">
        <v>40624</v>
      </c>
      <c r="H850" s="3">
        <v>1</v>
      </c>
      <c r="I850" s="1" t="s">
        <v>41</v>
      </c>
      <c r="J850" s="1">
        <v>3</v>
      </c>
      <c r="L850" s="1" t="s">
        <v>2789</v>
      </c>
      <c r="M850" s="1" t="s">
        <v>59</v>
      </c>
      <c r="N850" s="1" t="s">
        <v>2790</v>
      </c>
      <c r="O850" s="1" t="s">
        <v>2791</v>
      </c>
      <c r="Q850" s="1" t="s">
        <v>46</v>
      </c>
      <c r="R850" s="1" t="s">
        <v>47</v>
      </c>
      <c r="S850" s="1" t="s">
        <v>47</v>
      </c>
      <c r="T850" s="1" t="s">
        <v>48</v>
      </c>
      <c r="U850" s="1" t="s">
        <v>47</v>
      </c>
      <c r="V850" s="1" t="s">
        <v>47</v>
      </c>
      <c r="W850" s="1" t="s">
        <v>47</v>
      </c>
      <c r="Z850" s="1">
        <v>0</v>
      </c>
      <c r="AB850" s="1" t="s">
        <v>47</v>
      </c>
      <c r="AD850" s="1">
        <v>317335</v>
      </c>
      <c r="AF850" s="1" t="s">
        <v>47</v>
      </c>
      <c r="AG850" s="1" t="s">
        <v>47</v>
      </c>
      <c r="AH850" s="1" t="s">
        <v>49</v>
      </c>
      <c r="AI850" s="1" t="s">
        <v>47</v>
      </c>
      <c r="AK850" s="1" t="s">
        <v>48</v>
      </c>
      <c r="AL850" s="1" t="s">
        <v>2792</v>
      </c>
    </row>
    <row r="851" spans="1:38">
      <c r="A851" s="1">
        <v>5139750</v>
      </c>
      <c r="B851" s="1" t="s">
        <v>2793</v>
      </c>
      <c r="C851" s="1" t="str">
        <f>"9780273744795"</f>
        <v>9780273744795</v>
      </c>
      <c r="D851" s="1" t="str">
        <f>"9780273744856"</f>
        <v>9780273744856</v>
      </c>
      <c r="E851" s="1" t="s">
        <v>52</v>
      </c>
      <c r="F851" s="1" t="s">
        <v>67</v>
      </c>
      <c r="G851" s="3">
        <v>40634</v>
      </c>
      <c r="H851" s="3">
        <v>1</v>
      </c>
      <c r="I851" s="1" t="s">
        <v>41</v>
      </c>
      <c r="J851" s="1">
        <v>1</v>
      </c>
      <c r="L851" s="1" t="s">
        <v>2794</v>
      </c>
      <c r="M851" s="1" t="s">
        <v>950</v>
      </c>
      <c r="N851" s="1" t="s">
        <v>2795</v>
      </c>
      <c r="O851" s="1">
        <v>332.66</v>
      </c>
      <c r="P851" s="1" t="s">
        <v>2796</v>
      </c>
      <c r="Q851" s="1" t="s">
        <v>46</v>
      </c>
      <c r="R851" s="1" t="s">
        <v>47</v>
      </c>
      <c r="S851" s="1" t="s">
        <v>47</v>
      </c>
      <c r="T851" s="1" t="s">
        <v>48</v>
      </c>
      <c r="U851" s="1" t="s">
        <v>47</v>
      </c>
      <c r="V851" s="1" t="s">
        <v>47</v>
      </c>
      <c r="W851" s="1" t="s">
        <v>47</v>
      </c>
      <c r="Z851" s="1">
        <v>0</v>
      </c>
      <c r="AB851" s="1" t="s">
        <v>47</v>
      </c>
      <c r="AD851" s="1">
        <v>317338</v>
      </c>
      <c r="AF851" s="1" t="s">
        <v>47</v>
      </c>
      <c r="AG851" s="1" t="s">
        <v>47</v>
      </c>
      <c r="AH851" s="1" t="s">
        <v>49</v>
      </c>
      <c r="AI851" s="1" t="s">
        <v>47</v>
      </c>
      <c r="AK851" s="1" t="s">
        <v>48</v>
      </c>
      <c r="AL851" s="1" t="s">
        <v>2797</v>
      </c>
    </row>
    <row r="852" spans="1:38">
      <c r="A852" s="1">
        <v>5173484</v>
      </c>
      <c r="B852" s="1" t="s">
        <v>2798</v>
      </c>
      <c r="C852" s="1" t="str">
        <f>"9781292021003"</f>
        <v>9781292021003</v>
      </c>
      <c r="D852" s="1" t="str">
        <f>"9781292034256"</f>
        <v>9781292034256</v>
      </c>
      <c r="E852" s="1" t="s">
        <v>39</v>
      </c>
      <c r="F852" s="1" t="s">
        <v>40</v>
      </c>
      <c r="G852" s="3">
        <v>41513</v>
      </c>
      <c r="H852" s="3">
        <v>43075</v>
      </c>
      <c r="I852" s="1" t="s">
        <v>41</v>
      </c>
      <c r="J852" s="1">
        <v>4</v>
      </c>
      <c r="L852" s="1" t="s">
        <v>2799</v>
      </c>
      <c r="M852" s="1" t="s">
        <v>1633</v>
      </c>
      <c r="N852" s="1" t="s">
        <v>2800</v>
      </c>
      <c r="O852" s="1">
        <v>530</v>
      </c>
      <c r="P852" s="1" t="s">
        <v>2801</v>
      </c>
      <c r="Q852" s="1" t="s">
        <v>46</v>
      </c>
      <c r="R852" s="1" t="s">
        <v>48</v>
      </c>
      <c r="S852" s="1" t="s">
        <v>47</v>
      </c>
      <c r="T852" s="1" t="s">
        <v>48</v>
      </c>
      <c r="U852" s="1" t="s">
        <v>47</v>
      </c>
      <c r="V852" s="1" t="s">
        <v>47</v>
      </c>
      <c r="W852" s="1" t="s">
        <v>47</v>
      </c>
      <c r="Z852" s="1">
        <v>40.49</v>
      </c>
      <c r="AB852" s="1" t="s">
        <v>48</v>
      </c>
      <c r="AC852" s="1">
        <v>11478206</v>
      </c>
      <c r="AD852" s="1">
        <v>527565</v>
      </c>
      <c r="AF852" s="1" t="s">
        <v>47</v>
      </c>
      <c r="AG852" s="1" t="s">
        <v>47</v>
      </c>
      <c r="AH852" s="1" t="s">
        <v>49</v>
      </c>
      <c r="AI852" s="1" t="s">
        <v>47</v>
      </c>
      <c r="AK852" s="1" t="s">
        <v>48</v>
      </c>
      <c r="AL852" s="1" t="s">
        <v>2802</v>
      </c>
    </row>
    <row r="853" spans="1:38">
      <c r="A853" s="1">
        <v>5173502</v>
      </c>
      <c r="B853" s="1" t="s">
        <v>2803</v>
      </c>
      <c r="C853" s="1" t="str">
        <f>"9781292023564"</f>
        <v>9781292023564</v>
      </c>
      <c r="D853" s="1" t="str">
        <f>"9781292036731"</f>
        <v>9781292036731</v>
      </c>
      <c r="E853" s="1" t="s">
        <v>39</v>
      </c>
      <c r="F853" s="1" t="s">
        <v>40</v>
      </c>
      <c r="G853" s="3">
        <v>41514</v>
      </c>
      <c r="H853" s="3">
        <v>43075</v>
      </c>
      <c r="I853" s="1" t="s">
        <v>41</v>
      </c>
      <c r="J853" s="1">
        <v>6</v>
      </c>
      <c r="L853" s="1" t="s">
        <v>2804</v>
      </c>
      <c r="M853" s="1" t="s">
        <v>242</v>
      </c>
      <c r="N853" s="1" t="s">
        <v>2805</v>
      </c>
      <c r="O853" s="1">
        <v>515.35</v>
      </c>
      <c r="P853" s="1" t="s">
        <v>2806</v>
      </c>
      <c r="Q853" s="1" t="s">
        <v>46</v>
      </c>
      <c r="R853" s="1" t="s">
        <v>48</v>
      </c>
      <c r="S853" s="1" t="s">
        <v>47</v>
      </c>
      <c r="T853" s="1" t="s">
        <v>48</v>
      </c>
      <c r="U853" s="1" t="s">
        <v>47</v>
      </c>
      <c r="V853" s="1" t="s">
        <v>47</v>
      </c>
      <c r="W853" s="1" t="s">
        <v>47</v>
      </c>
      <c r="Z853" s="1">
        <v>38.99</v>
      </c>
      <c r="AB853" s="1" t="s">
        <v>48</v>
      </c>
      <c r="AC853" s="1">
        <v>11478223</v>
      </c>
      <c r="AD853" s="1">
        <v>527097</v>
      </c>
      <c r="AF853" s="1" t="s">
        <v>47</v>
      </c>
      <c r="AG853" s="1" t="s">
        <v>47</v>
      </c>
      <c r="AH853" s="1" t="s">
        <v>49</v>
      </c>
      <c r="AI853" s="1" t="s">
        <v>47</v>
      </c>
      <c r="AK853" s="1" t="s">
        <v>48</v>
      </c>
      <c r="AL853" s="1" t="s">
        <v>2807</v>
      </c>
    </row>
    <row r="854" spans="1:38">
      <c r="A854" s="1">
        <v>5173516</v>
      </c>
      <c r="B854" s="1" t="s">
        <v>2808</v>
      </c>
      <c r="C854" s="1" t="str">
        <f>"9780273703839"</f>
        <v>9780273703839</v>
      </c>
      <c r="D854" s="1" t="str">
        <f>"9780273732280"</f>
        <v>9780273732280</v>
      </c>
      <c r="E854" s="1" t="s">
        <v>39</v>
      </c>
      <c r="F854" s="1" t="s">
        <v>67</v>
      </c>
      <c r="G854" s="3">
        <v>39554</v>
      </c>
      <c r="H854" s="3">
        <v>43075</v>
      </c>
      <c r="I854" s="1" t="s">
        <v>41</v>
      </c>
      <c r="J854" s="1">
        <v>1</v>
      </c>
      <c r="L854" s="1" t="s">
        <v>2809</v>
      </c>
      <c r="M854" s="1" t="s">
        <v>59</v>
      </c>
      <c r="N854" s="1" t="s">
        <v>2810</v>
      </c>
      <c r="O854" s="1">
        <v>658.83028555500005</v>
      </c>
      <c r="P854" s="1" t="s">
        <v>2811</v>
      </c>
      <c r="Q854" s="1" t="s">
        <v>46</v>
      </c>
      <c r="R854" s="1" t="s">
        <v>48</v>
      </c>
      <c r="S854" s="1" t="s">
        <v>47</v>
      </c>
      <c r="T854" s="1" t="s">
        <v>48</v>
      </c>
      <c r="U854" s="1" t="s">
        <v>47</v>
      </c>
      <c r="V854" s="1" t="s">
        <v>47</v>
      </c>
      <c r="W854" s="1" t="s">
        <v>47</v>
      </c>
      <c r="Z854" s="1">
        <v>39.74</v>
      </c>
      <c r="AB854" s="1" t="s">
        <v>48</v>
      </c>
      <c r="AC854" s="1">
        <v>11478236</v>
      </c>
      <c r="AD854" s="1">
        <v>255767</v>
      </c>
      <c r="AF854" s="1" t="s">
        <v>47</v>
      </c>
      <c r="AG854" s="1" t="s">
        <v>47</v>
      </c>
      <c r="AH854" s="1" t="s">
        <v>49</v>
      </c>
      <c r="AI854" s="1" t="s">
        <v>47</v>
      </c>
      <c r="AK854" s="1" t="s">
        <v>48</v>
      </c>
      <c r="AL854" s="1" t="s">
        <v>2812</v>
      </c>
    </row>
    <row r="855" spans="1:38">
      <c r="A855" s="1">
        <v>5173548</v>
      </c>
      <c r="B855" s="1" t="s">
        <v>2813</v>
      </c>
      <c r="C855" s="1" t="str">
        <f>"9781292020679"</f>
        <v>9781292020679</v>
      </c>
      <c r="D855" s="1" t="str">
        <f>"9781292033938"</f>
        <v>9781292033938</v>
      </c>
      <c r="E855" s="1" t="s">
        <v>39</v>
      </c>
      <c r="F855" s="1" t="s">
        <v>40</v>
      </c>
      <c r="G855" s="3">
        <v>41513</v>
      </c>
      <c r="H855" s="3">
        <v>43075</v>
      </c>
      <c r="I855" s="1" t="s">
        <v>41</v>
      </c>
      <c r="J855" s="1">
        <v>3</v>
      </c>
      <c r="L855" s="1" t="s">
        <v>2814</v>
      </c>
      <c r="M855" s="1" t="s">
        <v>1633</v>
      </c>
      <c r="N855" s="1" t="s">
        <v>2815</v>
      </c>
      <c r="O855" s="1">
        <v>530.13</v>
      </c>
      <c r="P855" s="1" t="s">
        <v>2816</v>
      </c>
      <c r="Q855" s="1" t="s">
        <v>46</v>
      </c>
      <c r="R855" s="1" t="s">
        <v>48</v>
      </c>
      <c r="S855" s="1" t="s">
        <v>47</v>
      </c>
      <c r="T855" s="1" t="s">
        <v>48</v>
      </c>
      <c r="U855" s="1" t="s">
        <v>47</v>
      </c>
      <c r="V855" s="1" t="s">
        <v>47</v>
      </c>
      <c r="W855" s="1" t="s">
        <v>47</v>
      </c>
      <c r="Z855" s="1">
        <v>38.99</v>
      </c>
      <c r="AB855" s="1" t="s">
        <v>48</v>
      </c>
      <c r="AC855" s="1">
        <v>11478263</v>
      </c>
      <c r="AD855" s="1">
        <v>526950</v>
      </c>
      <c r="AF855" s="1" t="s">
        <v>47</v>
      </c>
      <c r="AG855" s="1" t="s">
        <v>47</v>
      </c>
      <c r="AH855" s="1" t="s">
        <v>49</v>
      </c>
      <c r="AI855" s="1" t="s">
        <v>47</v>
      </c>
      <c r="AK855" s="1" t="s">
        <v>48</v>
      </c>
      <c r="AL855" s="1" t="s">
        <v>2817</v>
      </c>
    </row>
    <row r="856" spans="1:38">
      <c r="A856" s="1">
        <v>5173552</v>
      </c>
      <c r="B856" s="1" t="s">
        <v>2818</v>
      </c>
      <c r="C856" s="1" t="str">
        <f>"9780273766131"</f>
        <v>9780273766131</v>
      </c>
      <c r="D856" s="1" t="str">
        <f>"9780273766148"</f>
        <v>9780273766148</v>
      </c>
      <c r="E856" s="1" t="s">
        <v>2819</v>
      </c>
      <c r="F856" s="1" t="s">
        <v>365</v>
      </c>
      <c r="G856" s="3">
        <v>41090</v>
      </c>
      <c r="H856" s="3">
        <v>43075</v>
      </c>
      <c r="I856" s="1" t="s">
        <v>41</v>
      </c>
      <c r="J856" s="1">
        <v>8</v>
      </c>
      <c r="L856" s="1" t="s">
        <v>2820</v>
      </c>
      <c r="M856" s="1" t="s">
        <v>256</v>
      </c>
      <c r="N856" s="1" t="s">
        <v>2821</v>
      </c>
      <c r="O856" s="1">
        <v>332.63229999999999</v>
      </c>
      <c r="P856" s="1" t="s">
        <v>2822</v>
      </c>
      <c r="Q856" s="1" t="s">
        <v>46</v>
      </c>
      <c r="R856" s="1" t="s">
        <v>47</v>
      </c>
      <c r="S856" s="1" t="s">
        <v>47</v>
      </c>
      <c r="T856" s="1" t="s">
        <v>48</v>
      </c>
      <c r="U856" s="1" t="s">
        <v>47</v>
      </c>
      <c r="V856" s="1" t="s">
        <v>47</v>
      </c>
      <c r="W856" s="1" t="s">
        <v>47</v>
      </c>
      <c r="Z856" s="1">
        <v>38.99</v>
      </c>
      <c r="AB856" s="1" t="s">
        <v>48</v>
      </c>
      <c r="AC856" s="1">
        <v>11478267</v>
      </c>
      <c r="AD856" s="1">
        <v>523688</v>
      </c>
      <c r="AF856" s="1" t="s">
        <v>47</v>
      </c>
      <c r="AG856" s="1" t="s">
        <v>47</v>
      </c>
      <c r="AH856" s="1" t="s">
        <v>49</v>
      </c>
      <c r="AI856" s="1" t="s">
        <v>47</v>
      </c>
      <c r="AK856" s="1" t="s">
        <v>48</v>
      </c>
      <c r="AL856" s="1" t="s">
        <v>2823</v>
      </c>
    </row>
    <row r="857" spans="1:38">
      <c r="A857" s="1">
        <v>5173563</v>
      </c>
      <c r="B857" s="1" t="s">
        <v>1112</v>
      </c>
      <c r="C857" s="1" t="str">
        <f>"9781292021164"</f>
        <v>9781292021164</v>
      </c>
      <c r="D857" s="1" t="str">
        <f>"9781292034393"</f>
        <v>9781292034393</v>
      </c>
      <c r="E857" s="1" t="s">
        <v>39</v>
      </c>
      <c r="F857" s="1" t="s">
        <v>40</v>
      </c>
      <c r="G857" s="3">
        <v>41513</v>
      </c>
      <c r="H857" s="3">
        <v>43075</v>
      </c>
      <c r="I857" s="1" t="s">
        <v>41</v>
      </c>
      <c r="J857" s="1">
        <v>8</v>
      </c>
      <c r="L857" s="1" t="s">
        <v>2824</v>
      </c>
      <c r="M857" s="1" t="s">
        <v>372</v>
      </c>
      <c r="N857" s="1" t="s">
        <v>2825</v>
      </c>
      <c r="O857" s="1">
        <v>302</v>
      </c>
      <c r="P857" s="1" t="s">
        <v>2826</v>
      </c>
      <c r="Q857" s="1" t="s">
        <v>46</v>
      </c>
      <c r="R857" s="1" t="s">
        <v>48</v>
      </c>
      <c r="S857" s="1" t="s">
        <v>47</v>
      </c>
      <c r="T857" s="1" t="s">
        <v>48</v>
      </c>
      <c r="U857" s="1" t="s">
        <v>47</v>
      </c>
      <c r="V857" s="1" t="s">
        <v>47</v>
      </c>
      <c r="W857" s="1" t="s">
        <v>47</v>
      </c>
      <c r="Z857" s="1">
        <v>38.24</v>
      </c>
      <c r="AB857" s="1" t="s">
        <v>48</v>
      </c>
      <c r="AC857" s="1">
        <v>11478276</v>
      </c>
      <c r="AD857" s="1">
        <v>527108</v>
      </c>
      <c r="AF857" s="1" t="s">
        <v>47</v>
      </c>
      <c r="AG857" s="1" t="s">
        <v>47</v>
      </c>
      <c r="AH857" s="1" t="s">
        <v>49</v>
      </c>
      <c r="AI857" s="1" t="s">
        <v>47</v>
      </c>
      <c r="AK857" s="1" t="s">
        <v>48</v>
      </c>
      <c r="AL857" s="1" t="s">
        <v>2827</v>
      </c>
    </row>
    <row r="858" spans="1:38">
      <c r="A858" s="1">
        <v>5173564</v>
      </c>
      <c r="B858" s="1" t="s">
        <v>2828</v>
      </c>
      <c r="C858" s="1" t="str">
        <f>"9780273719236"</f>
        <v>9780273719236</v>
      </c>
      <c r="D858" s="1" t="str">
        <f>"9780273719274"</f>
        <v>9780273719274</v>
      </c>
      <c r="E858" s="1" t="s">
        <v>39</v>
      </c>
      <c r="F858" s="1" t="s">
        <v>157</v>
      </c>
      <c r="G858" s="3">
        <v>40630</v>
      </c>
      <c r="H858" s="3">
        <v>43075</v>
      </c>
      <c r="I858" s="1" t="s">
        <v>41</v>
      </c>
      <c r="J858" s="1">
        <v>4</v>
      </c>
      <c r="L858" s="1" t="s">
        <v>2829</v>
      </c>
      <c r="M858" s="1" t="s">
        <v>2830</v>
      </c>
      <c r="N858" s="1" t="s">
        <v>2831</v>
      </c>
      <c r="O858" s="1">
        <v>620.00151000000005</v>
      </c>
      <c r="P858" s="1" t="s">
        <v>2832</v>
      </c>
      <c r="Q858" s="1" t="s">
        <v>46</v>
      </c>
      <c r="R858" s="1" t="s">
        <v>47</v>
      </c>
      <c r="S858" s="1" t="s">
        <v>47</v>
      </c>
      <c r="T858" s="1" t="s">
        <v>48</v>
      </c>
      <c r="U858" s="1" t="s">
        <v>47</v>
      </c>
      <c r="V858" s="1" t="s">
        <v>47</v>
      </c>
      <c r="W858" s="1" t="s">
        <v>47</v>
      </c>
      <c r="Z858" s="1">
        <v>32.99</v>
      </c>
      <c r="AB858" s="1" t="s">
        <v>48</v>
      </c>
      <c r="AC858" s="1">
        <v>11478277</v>
      </c>
      <c r="AD858" s="1">
        <v>305592</v>
      </c>
      <c r="AF858" s="1" t="s">
        <v>47</v>
      </c>
      <c r="AG858" s="1" t="s">
        <v>47</v>
      </c>
      <c r="AH858" s="1" t="s">
        <v>49</v>
      </c>
      <c r="AI858" s="1" t="s">
        <v>47</v>
      </c>
      <c r="AK858" s="1" t="s">
        <v>48</v>
      </c>
      <c r="AL858" s="1" t="s">
        <v>2833</v>
      </c>
    </row>
    <row r="859" spans="1:38">
      <c r="A859" s="1">
        <v>5173567</v>
      </c>
      <c r="B859" s="1" t="s">
        <v>2834</v>
      </c>
      <c r="C859" s="1" t="str">
        <f>"9780273773337"</f>
        <v>9780273773337</v>
      </c>
      <c r="D859" s="1" t="str">
        <f>"9780273773368"</f>
        <v>9780273773368</v>
      </c>
      <c r="E859" s="1" t="s">
        <v>39</v>
      </c>
      <c r="F859" s="1" t="s">
        <v>40</v>
      </c>
      <c r="G859" s="3">
        <v>41161</v>
      </c>
      <c r="H859" s="3">
        <v>43075</v>
      </c>
      <c r="I859" s="1" t="s">
        <v>41</v>
      </c>
      <c r="J859" s="1">
        <v>1</v>
      </c>
      <c r="K859" s="1" t="s">
        <v>2835</v>
      </c>
      <c r="L859" s="1" t="s">
        <v>2132</v>
      </c>
      <c r="M859" s="1" t="s">
        <v>1107</v>
      </c>
      <c r="N859" s="1" t="s">
        <v>2836</v>
      </c>
      <c r="O859" s="1">
        <v>808.02700000000004</v>
      </c>
      <c r="P859" s="1" t="s">
        <v>2837</v>
      </c>
      <c r="Q859" s="1" t="s">
        <v>46</v>
      </c>
      <c r="R859" s="1" t="s">
        <v>48</v>
      </c>
      <c r="S859" s="1" t="s">
        <v>47</v>
      </c>
      <c r="T859" s="1" t="s">
        <v>48</v>
      </c>
      <c r="U859" s="1" t="s">
        <v>47</v>
      </c>
      <c r="V859" s="1" t="s">
        <v>47</v>
      </c>
      <c r="W859" s="1" t="s">
        <v>47</v>
      </c>
      <c r="Z859" s="1">
        <v>8.99</v>
      </c>
      <c r="AB859" s="1" t="s">
        <v>48</v>
      </c>
      <c r="AC859" s="1">
        <v>11478280</v>
      </c>
      <c r="AD859" s="1">
        <v>462980</v>
      </c>
      <c r="AF859" s="1" t="s">
        <v>47</v>
      </c>
      <c r="AG859" s="1" t="s">
        <v>47</v>
      </c>
      <c r="AH859" s="1" t="s">
        <v>49</v>
      </c>
      <c r="AI859" s="1" t="s">
        <v>47</v>
      </c>
      <c r="AK859" s="1" t="s">
        <v>48</v>
      </c>
      <c r="AL859" s="1" t="s">
        <v>2838</v>
      </c>
    </row>
    <row r="860" spans="1:38">
      <c r="A860" s="1">
        <v>5173583</v>
      </c>
      <c r="B860" s="1" t="s">
        <v>2839</v>
      </c>
      <c r="C860" s="1" t="str">
        <f>"9780273738831"</f>
        <v>9780273738831</v>
      </c>
      <c r="D860" s="1" t="str">
        <f>"9780273738848"</f>
        <v>9780273738848</v>
      </c>
      <c r="E860" s="1" t="s">
        <v>39</v>
      </c>
      <c r="F860" s="1" t="s">
        <v>40</v>
      </c>
      <c r="G860" s="3">
        <v>41128</v>
      </c>
      <c r="H860" s="3">
        <v>43075</v>
      </c>
      <c r="I860" s="1" t="s">
        <v>41</v>
      </c>
      <c r="J860" s="1">
        <v>1</v>
      </c>
      <c r="L860" s="1" t="s">
        <v>2840</v>
      </c>
      <c r="M860" s="1" t="s">
        <v>59</v>
      </c>
      <c r="N860" s="1" t="s">
        <v>2841</v>
      </c>
      <c r="O860" s="1">
        <v>658.40200000000004</v>
      </c>
      <c r="P860" s="1" t="s">
        <v>2842</v>
      </c>
      <c r="Q860" s="1" t="s">
        <v>46</v>
      </c>
      <c r="R860" s="1" t="s">
        <v>48</v>
      </c>
      <c r="S860" s="1" t="s">
        <v>47</v>
      </c>
      <c r="T860" s="1" t="s">
        <v>48</v>
      </c>
      <c r="U860" s="1" t="s">
        <v>47</v>
      </c>
      <c r="V860" s="1" t="s">
        <v>47</v>
      </c>
      <c r="W860" s="1" t="s">
        <v>47</v>
      </c>
      <c r="Z860" s="1">
        <v>35.24</v>
      </c>
      <c r="AB860" s="1" t="s">
        <v>48</v>
      </c>
      <c r="AC860" s="1">
        <v>11478295</v>
      </c>
      <c r="AD860" s="1">
        <v>385404</v>
      </c>
      <c r="AF860" s="1" t="s">
        <v>47</v>
      </c>
      <c r="AG860" s="1" t="s">
        <v>47</v>
      </c>
      <c r="AH860" s="1" t="s">
        <v>49</v>
      </c>
      <c r="AI860" s="1" t="s">
        <v>47</v>
      </c>
      <c r="AK860" s="1" t="s">
        <v>48</v>
      </c>
      <c r="AL860" s="1" t="s">
        <v>2843</v>
      </c>
    </row>
    <row r="861" spans="1:38">
      <c r="A861" s="1">
        <v>5173587</v>
      </c>
      <c r="B861" s="1" t="s">
        <v>2844</v>
      </c>
      <c r="C861" s="1" t="str">
        <f>"9780273743750"</f>
        <v>9780273743750</v>
      </c>
      <c r="D861" s="1" t="str">
        <f>"9780273743767"</f>
        <v>9780273743767</v>
      </c>
      <c r="E861" s="1" t="s">
        <v>39</v>
      </c>
      <c r="F861" s="1" t="s">
        <v>157</v>
      </c>
      <c r="G861" s="3">
        <v>40518</v>
      </c>
      <c r="H861" s="3">
        <v>43076</v>
      </c>
      <c r="I861" s="1" t="s">
        <v>41</v>
      </c>
      <c r="J861" s="1">
        <v>1</v>
      </c>
      <c r="L861" s="1" t="s">
        <v>2845</v>
      </c>
      <c r="M861" s="1" t="s">
        <v>1523</v>
      </c>
      <c r="N861" s="1" t="s">
        <v>791</v>
      </c>
      <c r="O861" s="1">
        <v>808.06600000000003</v>
      </c>
      <c r="P861" s="1" t="s">
        <v>2846</v>
      </c>
      <c r="Q861" s="1" t="s">
        <v>46</v>
      </c>
      <c r="R861" s="1" t="s">
        <v>48</v>
      </c>
      <c r="S861" s="1" t="s">
        <v>47</v>
      </c>
      <c r="T861" s="1" t="s">
        <v>48</v>
      </c>
      <c r="U861" s="1" t="s">
        <v>47</v>
      </c>
      <c r="V861" s="1" t="s">
        <v>47</v>
      </c>
      <c r="W861" s="1" t="s">
        <v>47</v>
      </c>
      <c r="Z861" s="1">
        <v>8.99</v>
      </c>
      <c r="AB861" s="1" t="s">
        <v>48</v>
      </c>
      <c r="AC861" s="1">
        <v>11479727</v>
      </c>
      <c r="AD861" s="1">
        <v>404615</v>
      </c>
      <c r="AF861" s="1" t="s">
        <v>47</v>
      </c>
      <c r="AG861" s="1" t="s">
        <v>47</v>
      </c>
      <c r="AH861" s="1" t="s">
        <v>49</v>
      </c>
      <c r="AI861" s="1" t="s">
        <v>47</v>
      </c>
      <c r="AK861" s="1" t="s">
        <v>48</v>
      </c>
      <c r="AL861" s="1" t="s">
        <v>2847</v>
      </c>
    </row>
    <row r="862" spans="1:38">
      <c r="A862" s="1">
        <v>5173591</v>
      </c>
      <c r="B862" s="1" t="s">
        <v>2848</v>
      </c>
      <c r="C862" s="1" t="str">
        <f>"9781292021010"</f>
        <v>9781292021010</v>
      </c>
      <c r="D862" s="1" t="str">
        <f>"9781292034263"</f>
        <v>9781292034263</v>
      </c>
      <c r="E862" s="1" t="s">
        <v>39</v>
      </c>
      <c r="F862" s="1" t="s">
        <v>40</v>
      </c>
      <c r="G862" s="3">
        <v>41513</v>
      </c>
      <c r="H862" s="3">
        <v>43075</v>
      </c>
      <c r="I862" s="1" t="s">
        <v>41</v>
      </c>
      <c r="J862" s="1">
        <v>4</v>
      </c>
      <c r="L862" s="1" t="s">
        <v>2849</v>
      </c>
      <c r="M862" s="1" t="s">
        <v>2850</v>
      </c>
      <c r="N862" s="1" t="s">
        <v>2851</v>
      </c>
      <c r="O862" s="1">
        <v>647.94068000000004</v>
      </c>
      <c r="P862" s="1" t="s">
        <v>2852</v>
      </c>
      <c r="Q862" s="1" t="s">
        <v>46</v>
      </c>
      <c r="R862" s="1" t="s">
        <v>48</v>
      </c>
      <c r="S862" s="1" t="s">
        <v>47</v>
      </c>
      <c r="T862" s="1" t="s">
        <v>48</v>
      </c>
      <c r="U862" s="1" t="s">
        <v>47</v>
      </c>
      <c r="V862" s="1" t="s">
        <v>47</v>
      </c>
      <c r="W862" s="1" t="s">
        <v>47</v>
      </c>
      <c r="Z862" s="1">
        <v>39.74</v>
      </c>
      <c r="AB862" s="1" t="s">
        <v>48</v>
      </c>
      <c r="AC862" s="1">
        <v>11478301</v>
      </c>
      <c r="AD862" s="1">
        <v>527411</v>
      </c>
      <c r="AF862" s="1" t="s">
        <v>47</v>
      </c>
      <c r="AG862" s="1" t="s">
        <v>47</v>
      </c>
      <c r="AH862" s="1" t="s">
        <v>49</v>
      </c>
      <c r="AI862" s="1" t="s">
        <v>47</v>
      </c>
      <c r="AK862" s="1" t="s">
        <v>48</v>
      </c>
      <c r="AL862" s="1" t="s">
        <v>2853</v>
      </c>
    </row>
    <row r="863" spans="1:38">
      <c r="A863" s="1">
        <v>5173618</v>
      </c>
      <c r="B863" s="1" t="s">
        <v>2854</v>
      </c>
      <c r="C863" s="1" t="str">
        <f>"9780273735069"</f>
        <v>9780273735069</v>
      </c>
      <c r="D863" s="1" t="str">
        <f>"9780273735106"</f>
        <v>9780273735106</v>
      </c>
      <c r="E863" s="1" t="s">
        <v>39</v>
      </c>
      <c r="F863" s="1" t="s">
        <v>40</v>
      </c>
      <c r="G863" s="3">
        <v>41353</v>
      </c>
      <c r="H863" s="3">
        <v>43075</v>
      </c>
      <c r="I863" s="1" t="s">
        <v>41</v>
      </c>
      <c r="J863" s="1">
        <v>2</v>
      </c>
      <c r="L863" s="1" t="s">
        <v>2855</v>
      </c>
      <c r="M863" s="1" t="s">
        <v>100</v>
      </c>
      <c r="N863" s="1" t="s">
        <v>2856</v>
      </c>
      <c r="O863" s="1">
        <v>150.721</v>
      </c>
      <c r="P863" s="1" t="s">
        <v>2857</v>
      </c>
      <c r="Q863" s="1" t="s">
        <v>46</v>
      </c>
      <c r="R863" s="1" t="s">
        <v>48</v>
      </c>
      <c r="S863" s="1" t="s">
        <v>47</v>
      </c>
      <c r="T863" s="1" t="s">
        <v>48</v>
      </c>
      <c r="U863" s="1" t="s">
        <v>47</v>
      </c>
      <c r="V863" s="1" t="s">
        <v>47</v>
      </c>
      <c r="W863" s="1" t="s">
        <v>47</v>
      </c>
      <c r="Z863" s="1">
        <v>29.24</v>
      </c>
      <c r="AB863" s="1" t="s">
        <v>48</v>
      </c>
      <c r="AC863" s="1">
        <v>11478324</v>
      </c>
      <c r="AD863" s="1">
        <v>469791</v>
      </c>
      <c r="AF863" s="1" t="s">
        <v>47</v>
      </c>
      <c r="AG863" s="1" t="s">
        <v>47</v>
      </c>
      <c r="AH863" s="1" t="s">
        <v>49</v>
      </c>
      <c r="AI863" s="1" t="s">
        <v>47</v>
      </c>
      <c r="AK863" s="1" t="s">
        <v>48</v>
      </c>
      <c r="AL863" s="1" t="s">
        <v>2858</v>
      </c>
    </row>
    <row r="864" spans="1:38">
      <c r="A864" s="1">
        <v>5173634</v>
      </c>
      <c r="B864" s="1" t="s">
        <v>2859</v>
      </c>
      <c r="C864" s="1" t="str">
        <f>"9781292022246"</f>
        <v>9781292022246</v>
      </c>
      <c r="D864" s="1" t="str">
        <f>"9781292035444"</f>
        <v>9781292035444</v>
      </c>
      <c r="E864" s="1" t="s">
        <v>39</v>
      </c>
      <c r="F864" s="1" t="s">
        <v>40</v>
      </c>
      <c r="G864" s="3">
        <v>41513</v>
      </c>
      <c r="H864" s="3">
        <v>43075</v>
      </c>
      <c r="I864" s="1" t="s">
        <v>41</v>
      </c>
      <c r="J864" s="1">
        <v>3</v>
      </c>
      <c r="L864" s="1" t="s">
        <v>2814</v>
      </c>
      <c r="M864" s="1" t="s">
        <v>422</v>
      </c>
      <c r="N864" s="1" t="s">
        <v>2860</v>
      </c>
      <c r="O864" s="1">
        <v>541</v>
      </c>
      <c r="P864" s="1" t="s">
        <v>2861</v>
      </c>
      <c r="Q864" s="1" t="s">
        <v>46</v>
      </c>
      <c r="R864" s="1" t="s">
        <v>48</v>
      </c>
      <c r="S864" s="1" t="s">
        <v>47</v>
      </c>
      <c r="T864" s="1" t="s">
        <v>48</v>
      </c>
      <c r="U864" s="1" t="s">
        <v>47</v>
      </c>
      <c r="V864" s="1" t="s">
        <v>47</v>
      </c>
      <c r="W864" s="1" t="s">
        <v>47</v>
      </c>
      <c r="Z864" s="1">
        <v>40.49</v>
      </c>
      <c r="AB864" s="1" t="s">
        <v>48</v>
      </c>
      <c r="AC864" s="1">
        <v>11478339</v>
      </c>
      <c r="AD864" s="1">
        <v>527008</v>
      </c>
      <c r="AF864" s="1" t="s">
        <v>47</v>
      </c>
      <c r="AG864" s="1" t="s">
        <v>47</v>
      </c>
      <c r="AH864" s="1" t="s">
        <v>49</v>
      </c>
      <c r="AI864" s="1" t="s">
        <v>47</v>
      </c>
      <c r="AK864" s="1" t="s">
        <v>48</v>
      </c>
      <c r="AL864" s="1" t="s">
        <v>2862</v>
      </c>
    </row>
    <row r="865" spans="1:38">
      <c r="A865" s="1">
        <v>5173643</v>
      </c>
      <c r="B865" s="1" t="s">
        <v>2863</v>
      </c>
      <c r="C865" s="1" t="str">
        <f>"9781292021393"</f>
        <v>9781292021393</v>
      </c>
      <c r="D865" s="1" t="str">
        <f>"9781292034621"</f>
        <v>9781292034621</v>
      </c>
      <c r="E865" s="1" t="s">
        <v>39</v>
      </c>
      <c r="F865" s="1" t="s">
        <v>40</v>
      </c>
      <c r="G865" s="3">
        <v>41513</v>
      </c>
      <c r="H865" s="3">
        <v>43075</v>
      </c>
      <c r="I865" s="1" t="s">
        <v>41</v>
      </c>
      <c r="J865" s="1">
        <v>2</v>
      </c>
      <c r="L865" s="1" t="s">
        <v>2864</v>
      </c>
      <c r="M865" s="1" t="s">
        <v>950</v>
      </c>
      <c r="N865" s="1" t="s">
        <v>2865</v>
      </c>
      <c r="O865" s="1">
        <v>332.04199999999997</v>
      </c>
      <c r="P865" s="1" t="s">
        <v>2866</v>
      </c>
      <c r="Q865" s="1" t="s">
        <v>46</v>
      </c>
      <c r="R865" s="1" t="s">
        <v>48</v>
      </c>
      <c r="S865" s="1" t="s">
        <v>47</v>
      </c>
      <c r="T865" s="1" t="s">
        <v>48</v>
      </c>
      <c r="U865" s="1" t="s">
        <v>47</v>
      </c>
      <c r="V865" s="1" t="s">
        <v>47</v>
      </c>
      <c r="W865" s="1" t="s">
        <v>47</v>
      </c>
      <c r="Z865" s="1">
        <v>39.74</v>
      </c>
      <c r="AB865" s="1" t="s">
        <v>48</v>
      </c>
      <c r="AC865" s="1">
        <v>11478347</v>
      </c>
      <c r="AF865" s="1" t="s">
        <v>47</v>
      </c>
      <c r="AG865" s="1" t="s">
        <v>47</v>
      </c>
      <c r="AH865" s="1" t="s">
        <v>49</v>
      </c>
      <c r="AI865" s="1" t="s">
        <v>47</v>
      </c>
      <c r="AK865" s="1" t="s">
        <v>48</v>
      </c>
      <c r="AL865" s="1" t="s">
        <v>2867</v>
      </c>
    </row>
    <row r="866" spans="1:38">
      <c r="A866" s="1">
        <v>5173666</v>
      </c>
      <c r="B866" s="1" t="s">
        <v>723</v>
      </c>
      <c r="C866" s="1" t="str">
        <f>"9781292020327"</f>
        <v>9781292020327</v>
      </c>
      <c r="D866" s="1" t="str">
        <f>"9781292033662"</f>
        <v>9781292033662</v>
      </c>
      <c r="E866" s="1" t="s">
        <v>39</v>
      </c>
      <c r="F866" s="1" t="s">
        <v>40</v>
      </c>
      <c r="G866" s="3">
        <v>41513</v>
      </c>
      <c r="H866" s="3">
        <v>43075</v>
      </c>
      <c r="I866" s="1" t="s">
        <v>41</v>
      </c>
      <c r="J866" s="1">
        <v>11</v>
      </c>
      <c r="L866" s="1" t="s">
        <v>2868</v>
      </c>
      <c r="M866" s="1" t="s">
        <v>372</v>
      </c>
      <c r="N866" s="1" t="s">
        <v>2869</v>
      </c>
      <c r="O866" s="1">
        <v>301</v>
      </c>
      <c r="P866" s="1" t="s">
        <v>2870</v>
      </c>
      <c r="Q866" s="1" t="s">
        <v>46</v>
      </c>
      <c r="R866" s="1" t="s">
        <v>48</v>
      </c>
      <c r="S866" s="1" t="s">
        <v>47</v>
      </c>
      <c r="T866" s="1" t="s">
        <v>48</v>
      </c>
      <c r="U866" s="1" t="s">
        <v>47</v>
      </c>
      <c r="V866" s="1" t="s">
        <v>47</v>
      </c>
      <c r="W866" s="1" t="s">
        <v>47</v>
      </c>
      <c r="Z866" s="1">
        <v>39.74</v>
      </c>
      <c r="AB866" s="1" t="s">
        <v>48</v>
      </c>
      <c r="AC866" s="1">
        <v>11478368</v>
      </c>
      <c r="AD866" s="1">
        <v>526940</v>
      </c>
      <c r="AF866" s="1" t="s">
        <v>47</v>
      </c>
      <c r="AG866" s="1" t="s">
        <v>47</v>
      </c>
      <c r="AH866" s="1" t="s">
        <v>49</v>
      </c>
      <c r="AI866" s="1" t="s">
        <v>47</v>
      </c>
      <c r="AK866" s="1" t="s">
        <v>48</v>
      </c>
      <c r="AL866" s="1" t="s">
        <v>2871</v>
      </c>
    </row>
    <row r="867" spans="1:38">
      <c r="A867" s="1">
        <v>5173668</v>
      </c>
      <c r="B867" s="1" t="s">
        <v>2872</v>
      </c>
      <c r="C867" s="1" t="str">
        <f>"9781292021515"</f>
        <v>9781292021515</v>
      </c>
      <c r="D867" s="1" t="str">
        <f>"9781292034744"</f>
        <v>9781292034744</v>
      </c>
      <c r="E867" s="1" t="s">
        <v>39</v>
      </c>
      <c r="F867" s="1" t="s">
        <v>40</v>
      </c>
      <c r="G867" s="3">
        <v>41513</v>
      </c>
      <c r="H867" s="3">
        <v>43075</v>
      </c>
      <c r="I867" s="1" t="s">
        <v>41</v>
      </c>
      <c r="J867" s="1">
        <v>6</v>
      </c>
      <c r="L867" s="1" t="s">
        <v>2873</v>
      </c>
      <c r="M867" s="1" t="s">
        <v>54</v>
      </c>
      <c r="N867" s="1" t="s">
        <v>2874</v>
      </c>
      <c r="O867" s="1">
        <v>371.90460000000002</v>
      </c>
      <c r="P867" s="1" t="s">
        <v>2875</v>
      </c>
      <c r="Q867" s="1" t="s">
        <v>46</v>
      </c>
      <c r="R867" s="1" t="s">
        <v>48</v>
      </c>
      <c r="S867" s="1" t="s">
        <v>47</v>
      </c>
      <c r="T867" s="1" t="s">
        <v>48</v>
      </c>
      <c r="U867" s="1" t="s">
        <v>47</v>
      </c>
      <c r="V867" s="1" t="s">
        <v>47</v>
      </c>
      <c r="W867" s="1" t="s">
        <v>47</v>
      </c>
      <c r="Z867" s="1">
        <v>35.24</v>
      </c>
      <c r="AB867" s="1" t="s">
        <v>48</v>
      </c>
      <c r="AC867" s="1">
        <v>11478370</v>
      </c>
      <c r="AD867" s="1">
        <v>527031</v>
      </c>
      <c r="AF867" s="1" t="s">
        <v>47</v>
      </c>
      <c r="AG867" s="1" t="s">
        <v>47</v>
      </c>
      <c r="AH867" s="1" t="s">
        <v>49</v>
      </c>
      <c r="AI867" s="1" t="s">
        <v>47</v>
      </c>
      <c r="AK867" s="1" t="s">
        <v>48</v>
      </c>
      <c r="AL867" s="1" t="s">
        <v>2876</v>
      </c>
    </row>
    <row r="868" spans="1:38">
      <c r="A868" s="1">
        <v>5173674</v>
      </c>
      <c r="B868" s="1" t="s">
        <v>2877</v>
      </c>
      <c r="C868" s="1" t="str">
        <f>"9781292022710"</f>
        <v>9781292022710</v>
      </c>
      <c r="D868" s="1" t="str">
        <f>"9781292035918"</f>
        <v>9781292035918</v>
      </c>
      <c r="E868" s="1" t="s">
        <v>39</v>
      </c>
      <c r="F868" s="1" t="s">
        <v>40</v>
      </c>
      <c r="G868" s="3">
        <v>41514</v>
      </c>
      <c r="H868" s="3">
        <v>43075</v>
      </c>
      <c r="I868" s="1" t="s">
        <v>41</v>
      </c>
      <c r="J868" s="1">
        <v>3</v>
      </c>
      <c r="L868" s="1" t="s">
        <v>2878</v>
      </c>
      <c r="M868" s="1" t="s">
        <v>100</v>
      </c>
      <c r="N868" s="1" t="s">
        <v>2879</v>
      </c>
      <c r="O868" s="1">
        <v>153</v>
      </c>
      <c r="P868" s="1" t="s">
        <v>2880</v>
      </c>
      <c r="Q868" s="1" t="s">
        <v>46</v>
      </c>
      <c r="R868" s="1" t="s">
        <v>48</v>
      </c>
      <c r="S868" s="1" t="s">
        <v>47</v>
      </c>
      <c r="T868" s="1" t="s">
        <v>48</v>
      </c>
      <c r="U868" s="1" t="s">
        <v>47</v>
      </c>
      <c r="V868" s="1" t="s">
        <v>47</v>
      </c>
      <c r="W868" s="1" t="s">
        <v>47</v>
      </c>
      <c r="Z868" s="1">
        <v>32.99</v>
      </c>
      <c r="AB868" s="1" t="s">
        <v>48</v>
      </c>
      <c r="AC868" s="1">
        <v>11478375</v>
      </c>
      <c r="AD868" s="1">
        <v>527352</v>
      </c>
      <c r="AF868" s="1" t="s">
        <v>47</v>
      </c>
      <c r="AG868" s="1" t="s">
        <v>47</v>
      </c>
      <c r="AH868" s="1" t="s">
        <v>49</v>
      </c>
      <c r="AI868" s="1" t="s">
        <v>47</v>
      </c>
      <c r="AK868" s="1" t="s">
        <v>48</v>
      </c>
      <c r="AL868" s="1" t="s">
        <v>2881</v>
      </c>
    </row>
    <row r="869" spans="1:38">
      <c r="A869" s="1">
        <v>5173686</v>
      </c>
      <c r="B869" s="1" t="s">
        <v>2882</v>
      </c>
      <c r="C869" s="1" t="str">
        <f>"9781292021317"</f>
        <v>9781292021317</v>
      </c>
      <c r="D869" s="1" t="str">
        <f>"9781292034546"</f>
        <v>9781292034546</v>
      </c>
      <c r="E869" s="1" t="s">
        <v>39</v>
      </c>
      <c r="F869" s="1" t="s">
        <v>40</v>
      </c>
      <c r="G869" s="3">
        <v>41513</v>
      </c>
      <c r="H869" s="3">
        <v>43075</v>
      </c>
      <c r="I869" s="1" t="s">
        <v>41</v>
      </c>
      <c r="J869" s="1">
        <v>6</v>
      </c>
      <c r="L869" s="1" t="s">
        <v>2883</v>
      </c>
      <c r="M869" s="1" t="s">
        <v>242</v>
      </c>
      <c r="N869" s="1" t="s">
        <v>2884</v>
      </c>
      <c r="O869" s="1">
        <v>519.5</v>
      </c>
      <c r="P869" s="1" t="s">
        <v>2885</v>
      </c>
      <c r="Q869" s="1" t="s">
        <v>46</v>
      </c>
      <c r="R869" s="1" t="s">
        <v>48</v>
      </c>
      <c r="S869" s="1" t="s">
        <v>47</v>
      </c>
      <c r="T869" s="1" t="s">
        <v>48</v>
      </c>
      <c r="U869" s="1" t="s">
        <v>47</v>
      </c>
      <c r="V869" s="1" t="s">
        <v>47</v>
      </c>
      <c r="W869" s="1" t="s">
        <v>47</v>
      </c>
      <c r="Z869" s="1">
        <v>35.99</v>
      </c>
      <c r="AB869" s="1" t="s">
        <v>48</v>
      </c>
      <c r="AC869" s="1">
        <v>11478384</v>
      </c>
      <c r="AF869" s="1" t="s">
        <v>47</v>
      </c>
      <c r="AG869" s="1" t="s">
        <v>47</v>
      </c>
      <c r="AH869" s="1" t="s">
        <v>49</v>
      </c>
      <c r="AI869" s="1" t="s">
        <v>47</v>
      </c>
      <c r="AK869" s="1" t="s">
        <v>48</v>
      </c>
      <c r="AL869" s="1" t="s">
        <v>2886</v>
      </c>
    </row>
    <row r="870" spans="1:38">
      <c r="A870" s="1">
        <v>5173693</v>
      </c>
      <c r="B870" s="1" t="s">
        <v>2887</v>
      </c>
      <c r="C870" s="1" t="str">
        <f>"9780273757733"</f>
        <v>9780273757733</v>
      </c>
      <c r="D870" s="1" t="str">
        <f>"9780273757764"</f>
        <v>9780273757764</v>
      </c>
      <c r="E870" s="1" t="s">
        <v>39</v>
      </c>
      <c r="F870" s="1" t="s">
        <v>40</v>
      </c>
      <c r="G870" s="3">
        <v>41319</v>
      </c>
      <c r="H870" s="3">
        <v>43075</v>
      </c>
      <c r="I870" s="1" t="s">
        <v>41</v>
      </c>
      <c r="J870" s="1">
        <v>6</v>
      </c>
      <c r="L870" s="1" t="s">
        <v>2888</v>
      </c>
      <c r="M870" s="1" t="s">
        <v>59</v>
      </c>
      <c r="N870" s="1" t="s">
        <v>2889</v>
      </c>
      <c r="O870" s="1">
        <v>658.84</v>
      </c>
      <c r="P870" s="1" t="s">
        <v>2890</v>
      </c>
      <c r="Q870" s="1" t="s">
        <v>46</v>
      </c>
      <c r="R870" s="1" t="s">
        <v>48</v>
      </c>
      <c r="S870" s="1" t="s">
        <v>47</v>
      </c>
      <c r="T870" s="1" t="s">
        <v>48</v>
      </c>
      <c r="U870" s="1" t="s">
        <v>47</v>
      </c>
      <c r="V870" s="1" t="s">
        <v>47</v>
      </c>
      <c r="W870" s="1" t="s">
        <v>47</v>
      </c>
      <c r="Z870" s="1">
        <v>37.49</v>
      </c>
      <c r="AB870" s="1" t="s">
        <v>48</v>
      </c>
      <c r="AC870" s="1">
        <v>11478391</v>
      </c>
      <c r="AD870" s="1">
        <v>459552</v>
      </c>
      <c r="AF870" s="1" t="s">
        <v>47</v>
      </c>
      <c r="AG870" s="1" t="s">
        <v>47</v>
      </c>
      <c r="AH870" s="1" t="s">
        <v>49</v>
      </c>
      <c r="AI870" s="1" t="s">
        <v>47</v>
      </c>
      <c r="AK870" s="1" t="s">
        <v>48</v>
      </c>
      <c r="AL870" s="1" t="s">
        <v>2891</v>
      </c>
    </row>
    <row r="871" spans="1:38">
      <c r="A871" s="1">
        <v>5173699</v>
      </c>
      <c r="B871" s="1" t="s">
        <v>2892</v>
      </c>
      <c r="C871" s="1" t="str">
        <f>"9780273730422"</f>
        <v>9780273730422</v>
      </c>
      <c r="D871" s="1" t="str">
        <f>"9780273730439"</f>
        <v>9780273730439</v>
      </c>
      <c r="E871" s="1" t="s">
        <v>39</v>
      </c>
      <c r="F871" s="1" t="s">
        <v>157</v>
      </c>
      <c r="G871" s="3">
        <v>40553</v>
      </c>
      <c r="H871" s="3">
        <v>43075</v>
      </c>
      <c r="I871" s="1" t="s">
        <v>41</v>
      </c>
      <c r="J871" s="1">
        <v>6</v>
      </c>
      <c r="L871" s="1" t="s">
        <v>2893</v>
      </c>
      <c r="M871" s="1" t="s">
        <v>414</v>
      </c>
      <c r="N871" s="1" t="s">
        <v>2894</v>
      </c>
      <c r="O871" s="1">
        <v>543.01519499999995</v>
      </c>
      <c r="P871" s="1" t="s">
        <v>2895</v>
      </c>
      <c r="Q871" s="1" t="s">
        <v>46</v>
      </c>
      <c r="R871" s="1" t="s">
        <v>47</v>
      </c>
      <c r="S871" s="1" t="s">
        <v>47</v>
      </c>
      <c r="T871" s="1" t="s">
        <v>48</v>
      </c>
      <c r="U871" s="1" t="s">
        <v>47</v>
      </c>
      <c r="V871" s="1" t="s">
        <v>47</v>
      </c>
      <c r="W871" s="1" t="s">
        <v>47</v>
      </c>
      <c r="Z871" s="1">
        <v>33.74</v>
      </c>
      <c r="AB871" s="1" t="s">
        <v>48</v>
      </c>
      <c r="AC871" s="1">
        <v>11478396</v>
      </c>
      <c r="AD871" s="1">
        <v>266410</v>
      </c>
      <c r="AF871" s="1" t="s">
        <v>47</v>
      </c>
      <c r="AG871" s="1" t="s">
        <v>47</v>
      </c>
      <c r="AH871" s="1" t="s">
        <v>49</v>
      </c>
      <c r="AI871" s="1" t="s">
        <v>47</v>
      </c>
      <c r="AK871" s="1" t="s">
        <v>48</v>
      </c>
      <c r="AL871" s="1" t="s">
        <v>2896</v>
      </c>
    </row>
    <row r="872" spans="1:38">
      <c r="A872" s="1">
        <v>5173717</v>
      </c>
      <c r="B872" s="1" t="s">
        <v>2897</v>
      </c>
      <c r="C872" s="1" t="str">
        <f>"9781292023298"</f>
        <v>9781292023298</v>
      </c>
      <c r="D872" s="1" t="str">
        <f>"9781292036465"</f>
        <v>9781292036465</v>
      </c>
      <c r="E872" s="1" t="s">
        <v>39</v>
      </c>
      <c r="F872" s="1" t="s">
        <v>40</v>
      </c>
      <c r="G872" s="3">
        <v>41514</v>
      </c>
      <c r="H872" s="3">
        <v>43075</v>
      </c>
      <c r="I872" s="1" t="s">
        <v>41</v>
      </c>
      <c r="J872" s="1">
        <v>12</v>
      </c>
      <c r="L872" s="1" t="s">
        <v>2898</v>
      </c>
      <c r="M872" s="1" t="s">
        <v>1117</v>
      </c>
      <c r="N872" s="1" t="s">
        <v>2899</v>
      </c>
      <c r="O872" s="1">
        <v>519.5</v>
      </c>
      <c r="P872" s="1" t="s">
        <v>2900</v>
      </c>
      <c r="Q872" s="1" t="s">
        <v>46</v>
      </c>
      <c r="R872" s="1" t="s">
        <v>47</v>
      </c>
      <c r="S872" s="1" t="s">
        <v>47</v>
      </c>
      <c r="T872" s="1" t="s">
        <v>48</v>
      </c>
      <c r="U872" s="1" t="s">
        <v>47</v>
      </c>
      <c r="V872" s="1" t="s">
        <v>47</v>
      </c>
      <c r="W872" s="1" t="s">
        <v>47</v>
      </c>
      <c r="Z872" s="1">
        <v>22.49</v>
      </c>
      <c r="AB872" s="1" t="s">
        <v>48</v>
      </c>
      <c r="AC872" s="1">
        <v>11478410</v>
      </c>
      <c r="AD872" s="1">
        <v>527305</v>
      </c>
      <c r="AF872" s="1" t="s">
        <v>47</v>
      </c>
      <c r="AG872" s="1" t="s">
        <v>47</v>
      </c>
      <c r="AH872" s="1" t="s">
        <v>49</v>
      </c>
      <c r="AI872" s="1" t="s">
        <v>47</v>
      </c>
      <c r="AK872" s="1" t="s">
        <v>48</v>
      </c>
      <c r="AL872" s="1" t="s">
        <v>2901</v>
      </c>
    </row>
    <row r="873" spans="1:38">
      <c r="A873" s="1">
        <v>5173731</v>
      </c>
      <c r="B873" s="1" t="s">
        <v>2902</v>
      </c>
      <c r="C873" s="1" t="str">
        <f>"9780273773313"</f>
        <v>9780273773313</v>
      </c>
      <c r="D873" s="1" t="str">
        <f>"9780273773344"</f>
        <v>9780273773344</v>
      </c>
      <c r="E873" s="1" t="s">
        <v>39</v>
      </c>
      <c r="F873" s="1" t="s">
        <v>40</v>
      </c>
      <c r="G873" s="3">
        <v>41194</v>
      </c>
      <c r="H873" s="3">
        <v>43075</v>
      </c>
      <c r="I873" s="1" t="s">
        <v>41</v>
      </c>
      <c r="J873" s="1">
        <v>3</v>
      </c>
      <c r="K873" s="1" t="s">
        <v>2835</v>
      </c>
      <c r="L873" s="1" t="s">
        <v>2132</v>
      </c>
      <c r="M873" s="1" t="s">
        <v>54</v>
      </c>
      <c r="N873" s="1" t="s">
        <v>2903</v>
      </c>
      <c r="O873" s="1">
        <v>371.30281000000002</v>
      </c>
      <c r="P873" s="1" t="s">
        <v>2904</v>
      </c>
      <c r="Q873" s="1" t="s">
        <v>46</v>
      </c>
      <c r="R873" s="1" t="s">
        <v>48</v>
      </c>
      <c r="S873" s="1" t="s">
        <v>47</v>
      </c>
      <c r="T873" s="1" t="s">
        <v>48</v>
      </c>
      <c r="U873" s="1" t="s">
        <v>47</v>
      </c>
      <c r="V873" s="1" t="s">
        <v>47</v>
      </c>
      <c r="W873" s="1" t="s">
        <v>47</v>
      </c>
      <c r="Z873" s="1">
        <v>10.49</v>
      </c>
      <c r="AB873" s="1" t="s">
        <v>48</v>
      </c>
      <c r="AC873" s="1">
        <v>11478423</v>
      </c>
      <c r="AD873" s="1">
        <v>399630</v>
      </c>
      <c r="AF873" s="1" t="s">
        <v>47</v>
      </c>
      <c r="AG873" s="1" t="s">
        <v>47</v>
      </c>
      <c r="AH873" s="1" t="s">
        <v>49</v>
      </c>
      <c r="AI873" s="1" t="s">
        <v>47</v>
      </c>
      <c r="AK873" s="1" t="s">
        <v>48</v>
      </c>
      <c r="AL873" s="1" t="s">
        <v>2905</v>
      </c>
    </row>
    <row r="874" spans="1:38">
      <c r="A874" s="1">
        <v>5173737</v>
      </c>
      <c r="B874" s="1" t="s">
        <v>2906</v>
      </c>
      <c r="C874" s="1" t="str">
        <f>"9780273742753"</f>
        <v>9780273742753</v>
      </c>
      <c r="D874" s="1" t="str">
        <f>"9780273742784"</f>
        <v>9780273742784</v>
      </c>
      <c r="E874" s="1" t="s">
        <v>39</v>
      </c>
      <c r="F874" s="1" t="s">
        <v>40</v>
      </c>
      <c r="G874" s="3">
        <v>41156</v>
      </c>
      <c r="H874" s="3">
        <v>43075</v>
      </c>
      <c r="I874" s="1" t="s">
        <v>41</v>
      </c>
      <c r="J874" s="1">
        <v>4</v>
      </c>
      <c r="L874" s="1" t="s">
        <v>2907</v>
      </c>
      <c r="M874" s="1" t="s">
        <v>414</v>
      </c>
      <c r="N874" s="1" t="s">
        <v>2908</v>
      </c>
      <c r="O874" s="1">
        <v>546</v>
      </c>
      <c r="P874" s="1" t="s">
        <v>2909</v>
      </c>
      <c r="Q874" s="1" t="s">
        <v>46</v>
      </c>
      <c r="R874" s="1" t="s">
        <v>47</v>
      </c>
      <c r="S874" s="1" t="s">
        <v>47</v>
      </c>
      <c r="T874" s="1" t="s">
        <v>48</v>
      </c>
      <c r="U874" s="1" t="s">
        <v>47</v>
      </c>
      <c r="V874" s="1" t="s">
        <v>47</v>
      </c>
      <c r="W874" s="1" t="s">
        <v>47</v>
      </c>
      <c r="Z874" s="1">
        <v>35.24</v>
      </c>
      <c r="AB874" s="1" t="s">
        <v>48</v>
      </c>
      <c r="AC874" s="1">
        <v>11478428</v>
      </c>
      <c r="AD874" s="1">
        <v>390389</v>
      </c>
      <c r="AF874" s="1" t="s">
        <v>47</v>
      </c>
      <c r="AG874" s="1" t="s">
        <v>47</v>
      </c>
      <c r="AH874" s="1" t="s">
        <v>49</v>
      </c>
      <c r="AI874" s="1" t="s">
        <v>47</v>
      </c>
      <c r="AK874" s="1" t="s">
        <v>48</v>
      </c>
      <c r="AL874" s="1" t="s">
        <v>2910</v>
      </c>
    </row>
    <row r="875" spans="1:38">
      <c r="A875" s="1">
        <v>5173742</v>
      </c>
      <c r="B875" s="1" t="s">
        <v>2911</v>
      </c>
      <c r="C875" s="1" t="str">
        <f>"9781292021775"</f>
        <v>9781292021775</v>
      </c>
      <c r="D875" s="1" t="str">
        <f>"9781292034997"</f>
        <v>9781292034997</v>
      </c>
      <c r="E875" s="1" t="s">
        <v>39</v>
      </c>
      <c r="F875" s="1" t="s">
        <v>40</v>
      </c>
      <c r="G875" s="3">
        <v>41513</v>
      </c>
      <c r="H875" s="3">
        <v>43075</v>
      </c>
      <c r="I875" s="1" t="s">
        <v>41</v>
      </c>
      <c r="J875" s="1">
        <v>4</v>
      </c>
      <c r="L875" s="1" t="s">
        <v>2912</v>
      </c>
      <c r="M875" s="1" t="s">
        <v>950</v>
      </c>
      <c r="N875" s="1" t="s">
        <v>2913</v>
      </c>
      <c r="O875" s="1">
        <v>332.1</v>
      </c>
      <c r="P875" s="1" t="s">
        <v>2914</v>
      </c>
      <c r="Q875" s="1" t="s">
        <v>46</v>
      </c>
      <c r="R875" s="1" t="s">
        <v>48</v>
      </c>
      <c r="S875" s="1" t="s">
        <v>47</v>
      </c>
      <c r="T875" s="1" t="s">
        <v>48</v>
      </c>
      <c r="U875" s="1" t="s">
        <v>47</v>
      </c>
      <c r="V875" s="1" t="s">
        <v>47</v>
      </c>
      <c r="W875" s="1" t="s">
        <v>47</v>
      </c>
      <c r="Z875" s="1">
        <v>38.99</v>
      </c>
      <c r="AB875" s="1" t="s">
        <v>48</v>
      </c>
      <c r="AC875" s="1">
        <v>11478431</v>
      </c>
      <c r="AD875" s="1">
        <v>526996</v>
      </c>
      <c r="AF875" s="1" t="s">
        <v>47</v>
      </c>
      <c r="AG875" s="1" t="s">
        <v>47</v>
      </c>
      <c r="AH875" s="1" t="s">
        <v>49</v>
      </c>
      <c r="AI875" s="1" t="s">
        <v>47</v>
      </c>
      <c r="AK875" s="1" t="s">
        <v>48</v>
      </c>
      <c r="AL875" s="1" t="s">
        <v>2915</v>
      </c>
    </row>
    <row r="876" spans="1:38">
      <c r="A876" s="1">
        <v>5173759</v>
      </c>
      <c r="B876" s="1" t="s">
        <v>2916</v>
      </c>
      <c r="C876" s="1" t="str">
        <f>"9780273751250"</f>
        <v>9780273751250</v>
      </c>
      <c r="D876" s="1" t="str">
        <f>"9780273751304"</f>
        <v>9780273751304</v>
      </c>
      <c r="E876" s="1" t="s">
        <v>39</v>
      </c>
      <c r="F876" s="1" t="s">
        <v>40</v>
      </c>
      <c r="G876" s="3">
        <v>41081</v>
      </c>
      <c r="H876" s="3">
        <v>43075</v>
      </c>
      <c r="I876" s="1" t="s">
        <v>41</v>
      </c>
      <c r="J876" s="1">
        <v>1</v>
      </c>
      <c r="L876" s="1" t="s">
        <v>2917</v>
      </c>
      <c r="M876" s="1" t="s">
        <v>256</v>
      </c>
      <c r="N876" s="1" t="s">
        <v>2918</v>
      </c>
      <c r="O876" s="1">
        <v>338.6</v>
      </c>
      <c r="P876" s="1" t="s">
        <v>2919</v>
      </c>
      <c r="Q876" s="1" t="s">
        <v>46</v>
      </c>
      <c r="R876" s="1" t="s">
        <v>48</v>
      </c>
      <c r="S876" s="1" t="s">
        <v>47</v>
      </c>
      <c r="T876" s="1" t="s">
        <v>48</v>
      </c>
      <c r="U876" s="1" t="s">
        <v>47</v>
      </c>
      <c r="V876" s="1" t="s">
        <v>47</v>
      </c>
      <c r="W876" s="1" t="s">
        <v>47</v>
      </c>
      <c r="Z876" s="1">
        <v>39.74</v>
      </c>
      <c r="AB876" s="1" t="s">
        <v>48</v>
      </c>
      <c r="AC876" s="1">
        <v>11478446</v>
      </c>
      <c r="AD876" s="1">
        <v>369152</v>
      </c>
      <c r="AF876" s="1" t="s">
        <v>47</v>
      </c>
      <c r="AG876" s="1" t="s">
        <v>47</v>
      </c>
      <c r="AH876" s="1" t="s">
        <v>49</v>
      </c>
      <c r="AI876" s="1" t="s">
        <v>47</v>
      </c>
      <c r="AK876" s="1" t="s">
        <v>48</v>
      </c>
      <c r="AL876" s="1" t="s">
        <v>2920</v>
      </c>
    </row>
    <row r="877" spans="1:38">
      <c r="A877" s="1">
        <v>5173788</v>
      </c>
      <c r="B877" s="1" t="s">
        <v>2921</v>
      </c>
      <c r="C877" s="1" t="str">
        <f>"9780273774341"</f>
        <v>9780273774341</v>
      </c>
      <c r="D877" s="1" t="str">
        <f>"9780273774358"</f>
        <v>9780273774358</v>
      </c>
      <c r="E877" s="1" t="s">
        <v>39</v>
      </c>
      <c r="F877" s="1" t="s">
        <v>365</v>
      </c>
      <c r="G877" s="3">
        <v>41074</v>
      </c>
      <c r="H877" s="3">
        <v>43075</v>
      </c>
      <c r="I877" s="1" t="s">
        <v>41</v>
      </c>
      <c r="J877" s="1">
        <v>2</v>
      </c>
      <c r="L877" s="1" t="s">
        <v>2922</v>
      </c>
      <c r="M877" s="1" t="s">
        <v>556</v>
      </c>
      <c r="N877" s="1" t="s">
        <v>2923</v>
      </c>
      <c r="O877" s="1">
        <v>6.7</v>
      </c>
      <c r="P877" s="1" t="s">
        <v>2924</v>
      </c>
      <c r="Q877" s="1" t="s">
        <v>46</v>
      </c>
      <c r="R877" s="1" t="s">
        <v>48</v>
      </c>
      <c r="S877" s="1" t="s">
        <v>47</v>
      </c>
      <c r="T877" s="1" t="s">
        <v>48</v>
      </c>
      <c r="U877" s="1" t="s">
        <v>47</v>
      </c>
      <c r="V877" s="1" t="s">
        <v>47</v>
      </c>
      <c r="W877" s="1" t="s">
        <v>47</v>
      </c>
      <c r="Z877" s="1">
        <v>39.74</v>
      </c>
      <c r="AB877" s="1" t="s">
        <v>48</v>
      </c>
      <c r="AC877" s="1">
        <v>11478473</v>
      </c>
      <c r="AD877" s="1">
        <v>469809</v>
      </c>
      <c r="AF877" s="1" t="s">
        <v>47</v>
      </c>
      <c r="AG877" s="1" t="s">
        <v>47</v>
      </c>
      <c r="AH877" s="1" t="s">
        <v>49</v>
      </c>
      <c r="AI877" s="1" t="s">
        <v>47</v>
      </c>
      <c r="AK877" s="1" t="s">
        <v>48</v>
      </c>
      <c r="AL877" s="1" t="s">
        <v>2925</v>
      </c>
    </row>
    <row r="878" spans="1:38">
      <c r="A878" s="1">
        <v>5173798</v>
      </c>
      <c r="B878" s="1" t="s">
        <v>2926</v>
      </c>
      <c r="C878" s="1" t="str">
        <f>"9780273734376"</f>
        <v>9780273734376</v>
      </c>
      <c r="D878" s="1" t="str">
        <f>"9780273734413"</f>
        <v>9780273734413</v>
      </c>
      <c r="E878" s="1" t="s">
        <v>39</v>
      </c>
      <c r="F878" s="1" t="s">
        <v>157</v>
      </c>
      <c r="G878" s="3">
        <v>40521</v>
      </c>
      <c r="H878" s="3">
        <v>43075</v>
      </c>
      <c r="I878" s="1" t="s">
        <v>41</v>
      </c>
      <c r="J878" s="1">
        <v>1</v>
      </c>
      <c r="L878" s="1" t="s">
        <v>2845</v>
      </c>
      <c r="M878" s="1" t="s">
        <v>54</v>
      </c>
      <c r="N878" s="1" t="s">
        <v>2927</v>
      </c>
      <c r="O878" s="1">
        <v>371.30281000000002</v>
      </c>
      <c r="P878" s="1" t="s">
        <v>2928</v>
      </c>
      <c r="Q878" s="1" t="s">
        <v>46</v>
      </c>
      <c r="R878" s="1" t="s">
        <v>47</v>
      </c>
      <c r="S878" s="1" t="s">
        <v>47</v>
      </c>
      <c r="T878" s="1" t="s">
        <v>48</v>
      </c>
      <c r="U878" s="1" t="s">
        <v>47</v>
      </c>
      <c r="V878" s="1" t="s">
        <v>47</v>
      </c>
      <c r="W878" s="1" t="s">
        <v>47</v>
      </c>
      <c r="Z878" s="1">
        <v>10.49</v>
      </c>
      <c r="AB878" s="1" t="s">
        <v>48</v>
      </c>
      <c r="AC878" s="1">
        <v>11478482</v>
      </c>
      <c r="AD878" s="1">
        <v>404617</v>
      </c>
      <c r="AF878" s="1" t="s">
        <v>47</v>
      </c>
      <c r="AG878" s="1" t="s">
        <v>47</v>
      </c>
      <c r="AH878" s="1" t="s">
        <v>49</v>
      </c>
      <c r="AI878" s="1" t="s">
        <v>47</v>
      </c>
      <c r="AK878" s="1" t="s">
        <v>48</v>
      </c>
      <c r="AL878" s="1" t="s">
        <v>2929</v>
      </c>
    </row>
    <row r="879" spans="1:38">
      <c r="A879" s="1">
        <v>5173836</v>
      </c>
      <c r="B879" s="1" t="s">
        <v>2930</v>
      </c>
      <c r="C879" s="1" t="str">
        <f>"9780273779414"</f>
        <v>9780273779414</v>
      </c>
      <c r="D879" s="1" t="str">
        <f>"9780273780045"</f>
        <v>9780273780045</v>
      </c>
      <c r="E879" s="1" t="s">
        <v>39</v>
      </c>
      <c r="F879" s="1" t="s">
        <v>40</v>
      </c>
      <c r="G879" s="3">
        <v>41211</v>
      </c>
      <c r="H879" s="3">
        <v>43075</v>
      </c>
      <c r="I879" s="1" t="s">
        <v>41</v>
      </c>
      <c r="J879" s="1">
        <v>4</v>
      </c>
      <c r="L879" s="1" t="s">
        <v>2931</v>
      </c>
      <c r="M879" s="1" t="s">
        <v>59</v>
      </c>
      <c r="N879" s="1" t="s">
        <v>2932</v>
      </c>
      <c r="O879" s="1">
        <v>658.827</v>
      </c>
      <c r="P879" s="1" t="s">
        <v>2933</v>
      </c>
      <c r="Q879" s="1" t="s">
        <v>46</v>
      </c>
      <c r="R879" s="1" t="s">
        <v>48</v>
      </c>
      <c r="S879" s="1" t="s">
        <v>47</v>
      </c>
      <c r="T879" s="1" t="s">
        <v>48</v>
      </c>
      <c r="U879" s="1" t="s">
        <v>47</v>
      </c>
      <c r="V879" s="1" t="s">
        <v>47</v>
      </c>
      <c r="W879" s="1" t="s">
        <v>47</v>
      </c>
      <c r="Z879" s="1">
        <v>44.99</v>
      </c>
      <c r="AB879" s="1" t="s">
        <v>48</v>
      </c>
      <c r="AC879" s="1">
        <v>11478518</v>
      </c>
      <c r="AD879" s="1">
        <v>523713</v>
      </c>
      <c r="AF879" s="1" t="s">
        <v>47</v>
      </c>
      <c r="AG879" s="1" t="s">
        <v>47</v>
      </c>
      <c r="AH879" s="1" t="s">
        <v>49</v>
      </c>
      <c r="AI879" s="1" t="s">
        <v>47</v>
      </c>
      <c r="AK879" s="1" t="s">
        <v>48</v>
      </c>
      <c r="AL879" s="1" t="s">
        <v>2934</v>
      </c>
    </row>
    <row r="880" spans="1:38">
      <c r="A880" s="1">
        <v>5173847</v>
      </c>
      <c r="B880" s="1" t="s">
        <v>2935</v>
      </c>
      <c r="C880" s="1" t="str">
        <f>"9781292020457"</f>
        <v>9781292020457</v>
      </c>
      <c r="D880" s="1" t="str">
        <f>"9781292033761"</f>
        <v>9781292033761</v>
      </c>
      <c r="E880" s="1" t="s">
        <v>39</v>
      </c>
      <c r="F880" s="1" t="s">
        <v>40</v>
      </c>
      <c r="G880" s="3">
        <v>41513</v>
      </c>
      <c r="H880" s="3">
        <v>43075</v>
      </c>
      <c r="I880" s="1" t="s">
        <v>41</v>
      </c>
      <c r="J880" s="1">
        <v>6</v>
      </c>
      <c r="L880" s="1" t="s">
        <v>2936</v>
      </c>
      <c r="M880" s="1" t="s">
        <v>950</v>
      </c>
      <c r="N880" s="1" t="s">
        <v>2937</v>
      </c>
      <c r="O880" s="1">
        <v>332.024</v>
      </c>
      <c r="P880" s="1" t="s">
        <v>2938</v>
      </c>
      <c r="Q880" s="1" t="s">
        <v>46</v>
      </c>
      <c r="R880" s="1" t="s">
        <v>48</v>
      </c>
      <c r="S880" s="1" t="s">
        <v>47</v>
      </c>
      <c r="T880" s="1" t="s">
        <v>48</v>
      </c>
      <c r="U880" s="1" t="s">
        <v>47</v>
      </c>
      <c r="V880" s="1" t="s">
        <v>47</v>
      </c>
      <c r="W880" s="1" t="s">
        <v>47</v>
      </c>
      <c r="Z880" s="1">
        <v>43.49</v>
      </c>
      <c r="AB880" s="1" t="s">
        <v>48</v>
      </c>
      <c r="AC880" s="1">
        <v>11478529</v>
      </c>
      <c r="AD880" s="1">
        <v>527078</v>
      </c>
      <c r="AF880" s="1" t="s">
        <v>47</v>
      </c>
      <c r="AG880" s="1" t="s">
        <v>47</v>
      </c>
      <c r="AH880" s="1" t="s">
        <v>49</v>
      </c>
      <c r="AI880" s="1" t="s">
        <v>47</v>
      </c>
      <c r="AK880" s="1" t="s">
        <v>48</v>
      </c>
      <c r="AL880" s="1" t="s">
        <v>2939</v>
      </c>
    </row>
    <row r="881" spans="1:38">
      <c r="A881" s="1">
        <v>5173859</v>
      </c>
      <c r="B881" s="1" t="s">
        <v>2940</v>
      </c>
      <c r="C881" s="1" t="str">
        <f>"9780273765608"</f>
        <v>9780273765608</v>
      </c>
      <c r="D881" s="1" t="str">
        <f>"9780273765615"</f>
        <v>9780273765615</v>
      </c>
      <c r="E881" s="1" t="s">
        <v>2819</v>
      </c>
      <c r="F881" s="1" t="s">
        <v>365</v>
      </c>
      <c r="G881" s="3">
        <v>40997</v>
      </c>
      <c r="H881" s="3">
        <v>43075</v>
      </c>
      <c r="I881" s="1" t="s">
        <v>41</v>
      </c>
      <c r="J881" s="1">
        <v>7</v>
      </c>
      <c r="L881" s="1" t="s">
        <v>2941</v>
      </c>
      <c r="M881" s="1" t="s">
        <v>2942</v>
      </c>
      <c r="N881" s="1" t="s">
        <v>2943</v>
      </c>
      <c r="O881" s="1">
        <v>302.35000000000002</v>
      </c>
      <c r="P881" s="1" t="s">
        <v>2944</v>
      </c>
      <c r="Q881" s="1" t="s">
        <v>46</v>
      </c>
      <c r="R881" s="1" t="s">
        <v>48</v>
      </c>
      <c r="S881" s="1" t="s">
        <v>47</v>
      </c>
      <c r="T881" s="1" t="s">
        <v>48</v>
      </c>
      <c r="U881" s="1" t="s">
        <v>47</v>
      </c>
      <c r="V881" s="1" t="s">
        <v>47</v>
      </c>
      <c r="W881" s="1" t="s">
        <v>47</v>
      </c>
      <c r="Z881" s="1">
        <v>44.99</v>
      </c>
      <c r="AB881" s="1" t="s">
        <v>48</v>
      </c>
      <c r="AC881" s="1">
        <v>11478539</v>
      </c>
      <c r="AD881" s="1">
        <v>523691</v>
      </c>
      <c r="AF881" s="1" t="s">
        <v>47</v>
      </c>
      <c r="AG881" s="1" t="s">
        <v>47</v>
      </c>
      <c r="AH881" s="1" t="s">
        <v>49</v>
      </c>
      <c r="AI881" s="1" t="s">
        <v>47</v>
      </c>
      <c r="AK881" s="1" t="s">
        <v>48</v>
      </c>
      <c r="AL881" s="1" t="s">
        <v>2945</v>
      </c>
    </row>
    <row r="882" spans="1:38">
      <c r="A882" s="1">
        <v>5173881</v>
      </c>
      <c r="B882" s="1" t="s">
        <v>2946</v>
      </c>
      <c r="C882" s="1" t="str">
        <f>"9780273758273"</f>
        <v>9780273758273</v>
      </c>
      <c r="D882" s="1" t="str">
        <f>"9780273758358"</f>
        <v>9780273758358</v>
      </c>
      <c r="E882" s="1" t="s">
        <v>39</v>
      </c>
      <c r="F882" s="1" t="s">
        <v>40</v>
      </c>
      <c r="G882" s="3">
        <v>41426</v>
      </c>
      <c r="H882" s="3">
        <v>43075</v>
      </c>
      <c r="I882" s="1" t="s">
        <v>41</v>
      </c>
      <c r="J882" s="1">
        <v>5</v>
      </c>
      <c r="L882" s="1" t="s">
        <v>2947</v>
      </c>
      <c r="M882" s="1" t="s">
        <v>2948</v>
      </c>
      <c r="N882" s="1" t="s">
        <v>2949</v>
      </c>
      <c r="O882" s="1" t="s">
        <v>1361</v>
      </c>
      <c r="P882" s="1" t="s">
        <v>2950</v>
      </c>
      <c r="Q882" s="1" t="s">
        <v>46</v>
      </c>
      <c r="R882" s="1" t="s">
        <v>47</v>
      </c>
      <c r="S882" s="1" t="s">
        <v>47</v>
      </c>
      <c r="T882" s="1" t="s">
        <v>48</v>
      </c>
      <c r="U882" s="1" t="s">
        <v>47</v>
      </c>
      <c r="V882" s="1" t="s">
        <v>47</v>
      </c>
      <c r="W882" s="1" t="s">
        <v>47</v>
      </c>
      <c r="Z882" s="1">
        <v>33.74</v>
      </c>
      <c r="AB882" s="1" t="s">
        <v>48</v>
      </c>
      <c r="AC882" s="1">
        <v>11478560</v>
      </c>
      <c r="AD882" s="1">
        <v>497445</v>
      </c>
      <c r="AF882" s="1" t="s">
        <v>47</v>
      </c>
      <c r="AG882" s="1" t="s">
        <v>47</v>
      </c>
      <c r="AH882" s="1" t="s">
        <v>49</v>
      </c>
      <c r="AI882" s="1" t="s">
        <v>47</v>
      </c>
      <c r="AK882" s="1" t="s">
        <v>48</v>
      </c>
      <c r="AL882" s="1" t="s">
        <v>2951</v>
      </c>
    </row>
    <row r="883" spans="1:38">
      <c r="A883" s="1">
        <v>5173886</v>
      </c>
      <c r="B883" s="1" t="s">
        <v>2952</v>
      </c>
      <c r="C883" s="1" t="str">
        <f>"9781292023045"</f>
        <v>9781292023045</v>
      </c>
      <c r="D883" s="1" t="str">
        <f>"9781292036229"</f>
        <v>9781292036229</v>
      </c>
      <c r="E883" s="1" t="s">
        <v>39</v>
      </c>
      <c r="F883" s="1" t="s">
        <v>40</v>
      </c>
      <c r="G883" s="3">
        <v>41514</v>
      </c>
      <c r="H883" s="3">
        <v>43075</v>
      </c>
      <c r="I883" s="1" t="s">
        <v>41</v>
      </c>
      <c r="J883" s="1">
        <v>5</v>
      </c>
      <c r="L883" s="1" t="s">
        <v>2953</v>
      </c>
      <c r="M883" s="1" t="s">
        <v>372</v>
      </c>
      <c r="N883" s="1" t="s">
        <v>2954</v>
      </c>
      <c r="O883" s="1" t="s">
        <v>2955</v>
      </c>
      <c r="P883" s="1" t="s">
        <v>2956</v>
      </c>
      <c r="Q883" s="1" t="s">
        <v>46</v>
      </c>
      <c r="R883" s="1" t="s">
        <v>48</v>
      </c>
      <c r="S883" s="1" t="s">
        <v>47</v>
      </c>
      <c r="T883" s="1" t="s">
        <v>48</v>
      </c>
      <c r="U883" s="1" t="s">
        <v>47</v>
      </c>
      <c r="V883" s="1" t="s">
        <v>47</v>
      </c>
      <c r="W883" s="1" t="s">
        <v>47</v>
      </c>
      <c r="Z883" s="1">
        <v>33.74</v>
      </c>
      <c r="AB883" s="1" t="s">
        <v>48</v>
      </c>
      <c r="AC883" s="1">
        <v>11478565</v>
      </c>
      <c r="AD883" s="1">
        <v>527405</v>
      </c>
      <c r="AF883" s="1" t="s">
        <v>47</v>
      </c>
      <c r="AG883" s="1" t="s">
        <v>47</v>
      </c>
      <c r="AH883" s="1" t="s">
        <v>49</v>
      </c>
      <c r="AI883" s="1" t="s">
        <v>47</v>
      </c>
      <c r="AK883" s="1" t="s">
        <v>48</v>
      </c>
      <c r="AL883" s="1" t="s">
        <v>2957</v>
      </c>
    </row>
    <row r="884" spans="1:38">
      <c r="A884" s="1">
        <v>5173926</v>
      </c>
      <c r="B884" s="1" t="s">
        <v>2958</v>
      </c>
      <c r="C884" s="1" t="str">
        <f>"9780273758372"</f>
        <v>9780273758372</v>
      </c>
      <c r="D884" s="1" t="str">
        <f>"9780273758419"</f>
        <v>9780273758419</v>
      </c>
      <c r="E884" s="1" t="s">
        <v>39</v>
      </c>
      <c r="F884" s="1" t="s">
        <v>40</v>
      </c>
      <c r="G884" s="3">
        <v>41353</v>
      </c>
      <c r="H884" s="3">
        <v>43075</v>
      </c>
      <c r="I884" s="1" t="s">
        <v>41</v>
      </c>
      <c r="J884" s="1">
        <v>5</v>
      </c>
      <c r="L884" s="1" t="s">
        <v>2959</v>
      </c>
      <c r="M884" s="1" t="s">
        <v>2850</v>
      </c>
      <c r="N884" s="1" t="s">
        <v>2960</v>
      </c>
      <c r="O884" s="1">
        <v>647.94068000000004</v>
      </c>
      <c r="P884" s="1" t="s">
        <v>2852</v>
      </c>
      <c r="Q884" s="1" t="s">
        <v>46</v>
      </c>
      <c r="R884" s="1" t="s">
        <v>48</v>
      </c>
      <c r="S884" s="1" t="s">
        <v>47</v>
      </c>
      <c r="T884" s="1" t="s">
        <v>48</v>
      </c>
      <c r="U884" s="1" t="s">
        <v>47</v>
      </c>
      <c r="V884" s="1" t="s">
        <v>47</v>
      </c>
      <c r="W884" s="1" t="s">
        <v>47</v>
      </c>
      <c r="Z884" s="1">
        <v>35.99</v>
      </c>
      <c r="AB884" s="1" t="s">
        <v>48</v>
      </c>
      <c r="AC884" s="1">
        <v>11478599</v>
      </c>
      <c r="AD884" s="1">
        <v>469792</v>
      </c>
      <c r="AF884" s="1" t="s">
        <v>47</v>
      </c>
      <c r="AG884" s="1" t="s">
        <v>47</v>
      </c>
      <c r="AH884" s="1" t="s">
        <v>49</v>
      </c>
      <c r="AI884" s="1" t="s">
        <v>47</v>
      </c>
      <c r="AK884" s="1" t="s">
        <v>48</v>
      </c>
      <c r="AL884" s="1" t="s">
        <v>2961</v>
      </c>
    </row>
    <row r="885" spans="1:38">
      <c r="A885" s="1">
        <v>5173963</v>
      </c>
      <c r="B885" s="1" t="s">
        <v>2962</v>
      </c>
      <c r="C885" s="1" t="str">
        <f>"9780273737872"</f>
        <v>9780273737872</v>
      </c>
      <c r="D885" s="1" t="str">
        <f>"9780273737889"</f>
        <v>9780273737889</v>
      </c>
      <c r="E885" s="1" t="s">
        <v>39</v>
      </c>
      <c r="F885" s="1" t="s">
        <v>67</v>
      </c>
      <c r="G885" s="3">
        <v>40892</v>
      </c>
      <c r="H885" s="3">
        <v>43075</v>
      </c>
      <c r="I885" s="1" t="s">
        <v>41</v>
      </c>
      <c r="J885" s="1">
        <v>2</v>
      </c>
      <c r="L885" s="1" t="s">
        <v>2963</v>
      </c>
      <c r="M885" s="1" t="s">
        <v>59</v>
      </c>
      <c r="N885" s="1" t="s">
        <v>2964</v>
      </c>
      <c r="O885" s="1" t="s">
        <v>2965</v>
      </c>
      <c r="P885" s="1" t="s">
        <v>2966</v>
      </c>
      <c r="Q885" s="1" t="s">
        <v>46</v>
      </c>
      <c r="R885" s="1" t="s">
        <v>48</v>
      </c>
      <c r="S885" s="1" t="s">
        <v>47</v>
      </c>
      <c r="T885" s="1" t="s">
        <v>48</v>
      </c>
      <c r="U885" s="1" t="s">
        <v>47</v>
      </c>
      <c r="V885" s="1" t="s">
        <v>47</v>
      </c>
      <c r="W885" s="1" t="s">
        <v>47</v>
      </c>
      <c r="Z885" s="1">
        <v>40.49</v>
      </c>
      <c r="AB885" s="1" t="s">
        <v>48</v>
      </c>
      <c r="AC885" s="1">
        <v>11478630</v>
      </c>
      <c r="AD885" s="1">
        <v>463029</v>
      </c>
      <c r="AF885" s="1" t="s">
        <v>47</v>
      </c>
      <c r="AG885" s="1" t="s">
        <v>47</v>
      </c>
      <c r="AH885" s="1" t="s">
        <v>49</v>
      </c>
      <c r="AI885" s="1" t="s">
        <v>47</v>
      </c>
      <c r="AK885" s="1" t="s">
        <v>48</v>
      </c>
      <c r="AL885" s="1" t="s">
        <v>2967</v>
      </c>
    </row>
    <row r="886" spans="1:38">
      <c r="A886" s="1">
        <v>5173974</v>
      </c>
      <c r="B886" s="1" t="s">
        <v>2968</v>
      </c>
      <c r="C886" s="1" t="str">
        <f>"9780273737551"</f>
        <v>9780273737551</v>
      </c>
      <c r="D886" s="1" t="str">
        <f>"9780273737568"</f>
        <v>9780273737568</v>
      </c>
      <c r="E886" s="1" t="s">
        <v>39</v>
      </c>
      <c r="F886" s="1" t="s">
        <v>40</v>
      </c>
      <c r="G886" s="3">
        <v>41149</v>
      </c>
      <c r="H886" s="3">
        <v>43076</v>
      </c>
      <c r="I886" s="1" t="s">
        <v>41</v>
      </c>
      <c r="J886" s="1">
        <v>1</v>
      </c>
      <c r="L886" s="1" t="s">
        <v>2969</v>
      </c>
      <c r="M886" s="1" t="s">
        <v>59</v>
      </c>
      <c r="N886" s="1" t="s">
        <v>2286</v>
      </c>
      <c r="O886" s="1">
        <v>658.15110000000004</v>
      </c>
      <c r="Q886" s="1" t="s">
        <v>46</v>
      </c>
      <c r="R886" s="1" t="s">
        <v>48</v>
      </c>
      <c r="S886" s="1" t="s">
        <v>47</v>
      </c>
      <c r="T886" s="1" t="s">
        <v>48</v>
      </c>
      <c r="U886" s="1" t="s">
        <v>47</v>
      </c>
      <c r="V886" s="1" t="s">
        <v>47</v>
      </c>
      <c r="W886" s="1" t="s">
        <v>47</v>
      </c>
      <c r="Z886" s="1">
        <v>42.74</v>
      </c>
      <c r="AB886" s="1" t="s">
        <v>48</v>
      </c>
      <c r="AC886" s="1">
        <v>11479790</v>
      </c>
      <c r="AD886" s="1">
        <v>462994</v>
      </c>
      <c r="AF886" s="1" t="s">
        <v>47</v>
      </c>
      <c r="AG886" s="1" t="s">
        <v>47</v>
      </c>
      <c r="AH886" s="1" t="s">
        <v>49</v>
      </c>
      <c r="AI886" s="1" t="s">
        <v>47</v>
      </c>
      <c r="AK886" s="1" t="s">
        <v>48</v>
      </c>
      <c r="AL886" s="1" t="s">
        <v>2970</v>
      </c>
    </row>
    <row r="887" spans="1:38">
      <c r="A887" s="1">
        <v>5174024</v>
      </c>
      <c r="B887" s="1" t="s">
        <v>2971</v>
      </c>
      <c r="C887" s="1" t="str">
        <f>"9781292020471"</f>
        <v>9781292020471</v>
      </c>
      <c r="D887" s="1" t="str">
        <f>"9781292033778"</f>
        <v>9781292033778</v>
      </c>
      <c r="E887" s="1" t="s">
        <v>39</v>
      </c>
      <c r="F887" s="1" t="s">
        <v>40</v>
      </c>
      <c r="G887" s="3">
        <v>41513</v>
      </c>
      <c r="H887" s="3">
        <v>43075</v>
      </c>
      <c r="I887" s="1" t="s">
        <v>41</v>
      </c>
      <c r="J887" s="1">
        <v>3</v>
      </c>
      <c r="L887" s="1" t="s">
        <v>2972</v>
      </c>
      <c r="M887" s="1" t="s">
        <v>1172</v>
      </c>
      <c r="N887" s="1" t="s">
        <v>2973</v>
      </c>
      <c r="O887" s="1">
        <v>613.20000000000005</v>
      </c>
      <c r="P887" s="1" t="s">
        <v>2974</v>
      </c>
      <c r="Q887" s="1" t="s">
        <v>46</v>
      </c>
      <c r="R887" s="1" t="s">
        <v>48</v>
      </c>
      <c r="S887" s="1" t="s">
        <v>47</v>
      </c>
      <c r="T887" s="1" t="s">
        <v>48</v>
      </c>
      <c r="U887" s="1" t="s">
        <v>47</v>
      </c>
      <c r="V887" s="1" t="s">
        <v>47</v>
      </c>
      <c r="W887" s="1" t="s">
        <v>47</v>
      </c>
      <c r="Z887" s="1">
        <v>40.49</v>
      </c>
      <c r="AB887" s="1" t="s">
        <v>48</v>
      </c>
      <c r="AC887" s="1">
        <v>11478685</v>
      </c>
      <c r="AD887" s="1">
        <v>527185</v>
      </c>
      <c r="AF887" s="1" t="s">
        <v>47</v>
      </c>
      <c r="AG887" s="1" t="s">
        <v>47</v>
      </c>
      <c r="AH887" s="1" t="s">
        <v>49</v>
      </c>
      <c r="AI887" s="1" t="s">
        <v>47</v>
      </c>
      <c r="AK887" s="1" t="s">
        <v>48</v>
      </c>
      <c r="AL887" s="1" t="s">
        <v>2975</v>
      </c>
    </row>
    <row r="888" spans="1:38">
      <c r="A888" s="1">
        <v>5174034</v>
      </c>
      <c r="B888" s="1" t="s">
        <v>2976</v>
      </c>
      <c r="C888" s="1" t="str">
        <f>"9780273743774"</f>
        <v>9780273743774</v>
      </c>
      <c r="D888" s="1" t="str">
        <f>"9780273743781"</f>
        <v>9780273743781</v>
      </c>
      <c r="E888" s="1" t="s">
        <v>39</v>
      </c>
      <c r="F888" s="1" t="s">
        <v>157</v>
      </c>
      <c r="G888" s="3">
        <v>40544</v>
      </c>
      <c r="H888" s="3">
        <v>43075</v>
      </c>
      <c r="I888" s="1" t="s">
        <v>41</v>
      </c>
      <c r="J888" s="1">
        <v>1</v>
      </c>
      <c r="L888" s="1" t="s">
        <v>2845</v>
      </c>
      <c r="M888" s="1" t="s">
        <v>790</v>
      </c>
      <c r="N888" s="1" t="s">
        <v>2977</v>
      </c>
      <c r="O888" s="1">
        <v>808.02</v>
      </c>
      <c r="P888" s="1" t="s">
        <v>2978</v>
      </c>
      <c r="Q888" s="1" t="s">
        <v>46</v>
      </c>
      <c r="R888" s="1" t="s">
        <v>48</v>
      </c>
      <c r="S888" s="1" t="s">
        <v>47</v>
      </c>
      <c r="T888" s="1" t="s">
        <v>48</v>
      </c>
      <c r="U888" s="1" t="s">
        <v>47</v>
      </c>
      <c r="V888" s="1" t="s">
        <v>47</v>
      </c>
      <c r="W888" s="1" t="s">
        <v>47</v>
      </c>
      <c r="Z888" s="1">
        <v>8.99</v>
      </c>
      <c r="AB888" s="1" t="s">
        <v>48</v>
      </c>
      <c r="AC888" s="1">
        <v>11478694</v>
      </c>
      <c r="AD888" s="1">
        <v>404614</v>
      </c>
      <c r="AF888" s="1" t="s">
        <v>47</v>
      </c>
      <c r="AG888" s="1" t="s">
        <v>47</v>
      </c>
      <c r="AH888" s="1" t="s">
        <v>49</v>
      </c>
      <c r="AI888" s="1" t="s">
        <v>47</v>
      </c>
      <c r="AK888" s="1" t="s">
        <v>48</v>
      </c>
      <c r="AL888" s="1" t="s">
        <v>2979</v>
      </c>
    </row>
    <row r="889" spans="1:38">
      <c r="A889" s="1">
        <v>5174058</v>
      </c>
      <c r="B889" s="1" t="s">
        <v>2980</v>
      </c>
      <c r="C889" s="1" t="str">
        <f>"9780273750055"</f>
        <v>9780273750055</v>
      </c>
      <c r="D889" s="1" t="str">
        <f>"9780273750062"</f>
        <v>9780273750062</v>
      </c>
      <c r="E889" s="1" t="s">
        <v>39</v>
      </c>
      <c r="F889" s="1" t="s">
        <v>40</v>
      </c>
      <c r="G889" s="3">
        <v>40867</v>
      </c>
      <c r="H889" s="3">
        <v>43075</v>
      </c>
      <c r="I889" s="1" t="s">
        <v>41</v>
      </c>
      <c r="J889" s="1">
        <v>1</v>
      </c>
      <c r="L889" s="1" t="s">
        <v>2981</v>
      </c>
      <c r="M889" s="1" t="s">
        <v>100</v>
      </c>
      <c r="N889" s="1" t="s">
        <v>2982</v>
      </c>
      <c r="O889" s="1">
        <v>153.13999999999999</v>
      </c>
      <c r="P889" s="1" t="s">
        <v>2983</v>
      </c>
      <c r="Q889" s="1" t="s">
        <v>46</v>
      </c>
      <c r="R889" s="1" t="s">
        <v>48</v>
      </c>
      <c r="S889" s="1" t="s">
        <v>47</v>
      </c>
      <c r="T889" s="1" t="s">
        <v>48</v>
      </c>
      <c r="U889" s="1" t="s">
        <v>47</v>
      </c>
      <c r="V889" s="1" t="s">
        <v>47</v>
      </c>
      <c r="W889" s="1" t="s">
        <v>47</v>
      </c>
      <c r="Z889" s="1">
        <v>8.99</v>
      </c>
      <c r="AB889" s="1" t="s">
        <v>48</v>
      </c>
      <c r="AC889" s="1">
        <v>11478713</v>
      </c>
      <c r="AD889" s="1">
        <v>404620</v>
      </c>
      <c r="AF889" s="1" t="s">
        <v>47</v>
      </c>
      <c r="AG889" s="1" t="s">
        <v>47</v>
      </c>
      <c r="AH889" s="1" t="s">
        <v>49</v>
      </c>
      <c r="AI889" s="1" t="s">
        <v>47</v>
      </c>
      <c r="AK889" s="1" t="s">
        <v>48</v>
      </c>
      <c r="AL889" s="1" t="s">
        <v>2984</v>
      </c>
    </row>
    <row r="890" spans="1:38">
      <c r="A890" s="1">
        <v>5174063</v>
      </c>
      <c r="B890" s="1" t="s">
        <v>2985</v>
      </c>
      <c r="C890" s="1" t="str">
        <f>"9781292021256"</f>
        <v>9781292021256</v>
      </c>
      <c r="D890" s="1" t="str">
        <f>"9781292034485"</f>
        <v>9781292034485</v>
      </c>
      <c r="E890" s="1" t="s">
        <v>39</v>
      </c>
      <c r="F890" s="1" t="s">
        <v>40</v>
      </c>
      <c r="G890" s="3">
        <v>41513</v>
      </c>
      <c r="H890" s="3">
        <v>43075</v>
      </c>
      <c r="I890" s="1" t="s">
        <v>41</v>
      </c>
      <c r="J890" s="1">
        <v>3</v>
      </c>
      <c r="L890" s="1" t="s">
        <v>2986</v>
      </c>
      <c r="M890" s="1" t="s">
        <v>950</v>
      </c>
      <c r="N890" s="1" t="s">
        <v>2987</v>
      </c>
      <c r="O890" s="1">
        <v>332.64569999999998</v>
      </c>
      <c r="P890" s="1" t="s">
        <v>2988</v>
      </c>
      <c r="Q890" s="1" t="s">
        <v>46</v>
      </c>
      <c r="R890" s="1" t="s">
        <v>48</v>
      </c>
      <c r="S890" s="1" t="s">
        <v>47</v>
      </c>
      <c r="T890" s="1" t="s">
        <v>48</v>
      </c>
      <c r="U890" s="1" t="s">
        <v>47</v>
      </c>
      <c r="V890" s="1" t="s">
        <v>47</v>
      </c>
      <c r="W890" s="1" t="s">
        <v>47</v>
      </c>
      <c r="Z890" s="1">
        <v>39.74</v>
      </c>
      <c r="AB890" s="1" t="s">
        <v>48</v>
      </c>
      <c r="AC890" s="1">
        <v>11478718</v>
      </c>
      <c r="AD890" s="1">
        <v>526952</v>
      </c>
      <c r="AF890" s="1" t="s">
        <v>47</v>
      </c>
      <c r="AG890" s="1" t="s">
        <v>47</v>
      </c>
      <c r="AH890" s="1" t="s">
        <v>49</v>
      </c>
      <c r="AI890" s="1" t="s">
        <v>47</v>
      </c>
      <c r="AK890" s="1" t="s">
        <v>48</v>
      </c>
      <c r="AL890" s="1" t="s">
        <v>2989</v>
      </c>
    </row>
    <row r="891" spans="1:38">
      <c r="A891" s="1">
        <v>5174089</v>
      </c>
      <c r="B891" s="1" t="s">
        <v>2990</v>
      </c>
      <c r="C891" s="1" t="str">
        <f>"9781292020860"</f>
        <v>9781292020860</v>
      </c>
      <c r="D891" s="1" t="str">
        <f>"9781292034119"</f>
        <v>9781292034119</v>
      </c>
      <c r="E891" s="1" t="s">
        <v>39</v>
      </c>
      <c r="F891" s="1" t="s">
        <v>40</v>
      </c>
      <c r="G891" s="3">
        <v>41513</v>
      </c>
      <c r="H891" s="3">
        <v>43075</v>
      </c>
      <c r="I891" s="1" t="s">
        <v>41</v>
      </c>
      <c r="J891" s="1">
        <v>4</v>
      </c>
      <c r="L891" s="1" t="s">
        <v>2991</v>
      </c>
      <c r="M891" s="1" t="s">
        <v>256</v>
      </c>
      <c r="N891" s="1" t="s">
        <v>2992</v>
      </c>
      <c r="O891" s="1">
        <v>338.60973000000001</v>
      </c>
      <c r="P891" s="1" t="s">
        <v>2993</v>
      </c>
      <c r="Q891" s="1" t="s">
        <v>46</v>
      </c>
      <c r="R891" s="1" t="s">
        <v>48</v>
      </c>
      <c r="S891" s="1" t="s">
        <v>47</v>
      </c>
      <c r="T891" s="1" t="s">
        <v>48</v>
      </c>
      <c r="U891" s="1" t="s">
        <v>47</v>
      </c>
      <c r="V891" s="1" t="s">
        <v>47</v>
      </c>
      <c r="W891" s="1" t="s">
        <v>47</v>
      </c>
      <c r="Z891" s="1">
        <v>38.99</v>
      </c>
      <c r="AB891" s="1" t="s">
        <v>48</v>
      </c>
      <c r="AC891" s="1">
        <v>11478745</v>
      </c>
      <c r="AD891" s="1">
        <v>527181</v>
      </c>
      <c r="AF891" s="1" t="s">
        <v>47</v>
      </c>
      <c r="AG891" s="1" t="s">
        <v>47</v>
      </c>
      <c r="AH891" s="1" t="s">
        <v>49</v>
      </c>
      <c r="AI891" s="1" t="s">
        <v>47</v>
      </c>
      <c r="AK891" s="1" t="s">
        <v>48</v>
      </c>
      <c r="AL891" s="1" t="s">
        <v>2994</v>
      </c>
    </row>
    <row r="892" spans="1:38">
      <c r="A892" s="1">
        <v>5174090</v>
      </c>
      <c r="B892" s="1" t="s">
        <v>2995</v>
      </c>
      <c r="C892" s="1" t="str">
        <f>"9780273725664"</f>
        <v>9780273725664</v>
      </c>
      <c r="D892" s="1" t="str">
        <f>"9780273725671"</f>
        <v>9780273725671</v>
      </c>
      <c r="E892" s="1" t="s">
        <v>39</v>
      </c>
      <c r="F892" s="1" t="s">
        <v>67</v>
      </c>
      <c r="G892" s="3">
        <v>40567</v>
      </c>
      <c r="H892" s="3">
        <v>43075</v>
      </c>
      <c r="I892" s="1" t="s">
        <v>41</v>
      </c>
      <c r="J892" s="1">
        <v>2</v>
      </c>
      <c r="L892" s="1" t="s">
        <v>2996</v>
      </c>
      <c r="M892" s="1" t="s">
        <v>59</v>
      </c>
      <c r="N892" s="1" t="s">
        <v>2997</v>
      </c>
      <c r="O892" s="1" t="s">
        <v>2998</v>
      </c>
      <c r="P892" s="1" t="s">
        <v>2999</v>
      </c>
      <c r="Q892" s="1" t="s">
        <v>46</v>
      </c>
      <c r="R892" s="1" t="s">
        <v>47</v>
      </c>
      <c r="S892" s="1" t="s">
        <v>47</v>
      </c>
      <c r="T892" s="1" t="s">
        <v>48</v>
      </c>
      <c r="U892" s="1" t="s">
        <v>47</v>
      </c>
      <c r="V892" s="1" t="s">
        <v>47</v>
      </c>
      <c r="W892" s="1" t="s">
        <v>47</v>
      </c>
      <c r="Z892" s="1">
        <v>37.49</v>
      </c>
      <c r="AB892" s="1" t="s">
        <v>48</v>
      </c>
      <c r="AC892" s="1">
        <v>11478746</v>
      </c>
      <c r="AD892" s="1">
        <v>298342</v>
      </c>
      <c r="AF892" s="1" t="s">
        <v>47</v>
      </c>
      <c r="AG892" s="1" t="s">
        <v>47</v>
      </c>
      <c r="AH892" s="1" t="s">
        <v>49</v>
      </c>
      <c r="AI892" s="1" t="s">
        <v>47</v>
      </c>
      <c r="AK892" s="1" t="s">
        <v>48</v>
      </c>
      <c r="AL892" s="1" t="s">
        <v>3000</v>
      </c>
    </row>
    <row r="893" spans="1:38">
      <c r="A893" s="1">
        <v>5174135</v>
      </c>
      <c r="B893" s="1" t="s">
        <v>2356</v>
      </c>
      <c r="C893" s="1" t="str">
        <f>"9781292022352"</f>
        <v>9781292022352</v>
      </c>
      <c r="D893" s="1" t="str">
        <f>"9781292035550"</f>
        <v>9781292035550</v>
      </c>
      <c r="E893" s="1" t="s">
        <v>39</v>
      </c>
      <c r="F893" s="1" t="s">
        <v>40</v>
      </c>
      <c r="G893" s="3">
        <v>41513</v>
      </c>
      <c r="H893" s="3">
        <v>43075</v>
      </c>
      <c r="I893" s="1" t="s">
        <v>41</v>
      </c>
      <c r="J893" s="1">
        <v>1</v>
      </c>
      <c r="L893" s="1" t="s">
        <v>3001</v>
      </c>
      <c r="M893" s="1" t="s">
        <v>100</v>
      </c>
      <c r="N893" s="1" t="s">
        <v>3002</v>
      </c>
      <c r="O893" s="1">
        <v>153</v>
      </c>
      <c r="P893" s="1" t="s">
        <v>3003</v>
      </c>
      <c r="Q893" s="1" t="s">
        <v>46</v>
      </c>
      <c r="R893" s="1" t="s">
        <v>48</v>
      </c>
      <c r="S893" s="1" t="s">
        <v>47</v>
      </c>
      <c r="T893" s="1" t="s">
        <v>48</v>
      </c>
      <c r="U893" s="1" t="s">
        <v>47</v>
      </c>
      <c r="V893" s="1" t="s">
        <v>47</v>
      </c>
      <c r="W893" s="1" t="s">
        <v>47</v>
      </c>
      <c r="Z893" s="1">
        <v>38.99</v>
      </c>
      <c r="AB893" s="1" t="s">
        <v>48</v>
      </c>
      <c r="AC893" s="1">
        <v>11478786</v>
      </c>
      <c r="AD893" s="1">
        <v>527415</v>
      </c>
      <c r="AF893" s="1" t="s">
        <v>47</v>
      </c>
      <c r="AG893" s="1" t="s">
        <v>47</v>
      </c>
      <c r="AH893" s="1" t="s">
        <v>49</v>
      </c>
      <c r="AI893" s="1" t="s">
        <v>47</v>
      </c>
      <c r="AK893" s="1" t="s">
        <v>48</v>
      </c>
      <c r="AL893" s="1" t="s">
        <v>3004</v>
      </c>
    </row>
    <row r="894" spans="1:38">
      <c r="A894" s="1">
        <v>5174149</v>
      </c>
      <c r="B894" s="1" t="s">
        <v>3005</v>
      </c>
      <c r="C894" s="1" t="str">
        <f>"9780273731153"</f>
        <v>9780273731153</v>
      </c>
      <c r="D894" s="1" t="str">
        <f>"9780273731214"</f>
        <v>9780273731214</v>
      </c>
      <c r="E894" s="1" t="s">
        <v>39</v>
      </c>
      <c r="F894" s="1" t="s">
        <v>157</v>
      </c>
      <c r="G894" s="3">
        <v>40443</v>
      </c>
      <c r="H894" s="3">
        <v>43075</v>
      </c>
      <c r="I894" s="1" t="s">
        <v>41</v>
      </c>
      <c r="J894" s="1">
        <v>1</v>
      </c>
      <c r="L894" s="1" t="s">
        <v>2132</v>
      </c>
      <c r="M894" s="1" t="s">
        <v>54</v>
      </c>
      <c r="N894" s="1" t="s">
        <v>3006</v>
      </c>
      <c r="O894" s="1" t="s">
        <v>3007</v>
      </c>
      <c r="P894" s="1" t="s">
        <v>3008</v>
      </c>
      <c r="Q894" s="1" t="s">
        <v>46</v>
      </c>
      <c r="R894" s="1" t="s">
        <v>47</v>
      </c>
      <c r="S894" s="1" t="s">
        <v>47</v>
      </c>
      <c r="T894" s="1" t="s">
        <v>48</v>
      </c>
      <c r="U894" s="1" t="s">
        <v>47</v>
      </c>
      <c r="V894" s="1" t="s">
        <v>47</v>
      </c>
      <c r="W894" s="1" t="s">
        <v>47</v>
      </c>
      <c r="Z894" s="1">
        <v>16.489999999999998</v>
      </c>
      <c r="AB894" s="1" t="s">
        <v>48</v>
      </c>
      <c r="AC894" s="1">
        <v>11478797</v>
      </c>
      <c r="AD894" s="1">
        <v>404608</v>
      </c>
      <c r="AF894" s="1" t="s">
        <v>47</v>
      </c>
      <c r="AG894" s="1" t="s">
        <v>47</v>
      </c>
      <c r="AH894" s="1" t="s">
        <v>49</v>
      </c>
      <c r="AI894" s="1" t="s">
        <v>47</v>
      </c>
      <c r="AK894" s="1" t="s">
        <v>48</v>
      </c>
      <c r="AL894" s="1" t="s">
        <v>3009</v>
      </c>
    </row>
    <row r="895" spans="1:38">
      <c r="A895" s="1">
        <v>5174152</v>
      </c>
      <c r="B895" s="1" t="s">
        <v>3010</v>
      </c>
      <c r="C895" s="1" t="str">
        <f>"9780273734208"</f>
        <v>9780273734208</v>
      </c>
      <c r="D895" s="1" t="str">
        <f>"9780273734215"</f>
        <v>9780273734215</v>
      </c>
      <c r="E895" s="1" t="s">
        <v>39</v>
      </c>
      <c r="F895" s="1" t="s">
        <v>40</v>
      </c>
      <c r="G895" s="3">
        <v>41319</v>
      </c>
      <c r="H895" s="3">
        <v>43075</v>
      </c>
      <c r="I895" s="1" t="s">
        <v>41</v>
      </c>
      <c r="J895" s="1">
        <v>1</v>
      </c>
      <c r="L895" s="1" t="s">
        <v>3011</v>
      </c>
      <c r="M895" s="1" t="s">
        <v>3012</v>
      </c>
      <c r="N895" s="1" t="s">
        <v>3013</v>
      </c>
      <c r="O895" s="1">
        <v>158.69999999999999</v>
      </c>
      <c r="P895" s="1" t="s">
        <v>3014</v>
      </c>
      <c r="Q895" s="1" t="s">
        <v>46</v>
      </c>
      <c r="R895" s="1" t="s">
        <v>48</v>
      </c>
      <c r="S895" s="1" t="s">
        <v>47</v>
      </c>
      <c r="T895" s="1" t="s">
        <v>48</v>
      </c>
      <c r="U895" s="1" t="s">
        <v>47</v>
      </c>
      <c r="V895" s="1" t="s">
        <v>47</v>
      </c>
      <c r="W895" s="1" t="s">
        <v>47</v>
      </c>
      <c r="Z895" s="1">
        <v>29.24</v>
      </c>
      <c r="AB895" s="1" t="s">
        <v>48</v>
      </c>
      <c r="AC895" s="1">
        <v>11478800</v>
      </c>
      <c r="AD895" s="1">
        <v>459565</v>
      </c>
      <c r="AF895" s="1" t="s">
        <v>47</v>
      </c>
      <c r="AG895" s="1" t="s">
        <v>47</v>
      </c>
      <c r="AH895" s="1" t="s">
        <v>49</v>
      </c>
      <c r="AI895" s="1" t="s">
        <v>47</v>
      </c>
      <c r="AK895" s="1" t="s">
        <v>48</v>
      </c>
      <c r="AL895" s="1" t="s">
        <v>3015</v>
      </c>
    </row>
    <row r="896" spans="1:38">
      <c r="A896" s="1">
        <v>5174156</v>
      </c>
      <c r="B896" s="1" t="s">
        <v>3016</v>
      </c>
      <c r="C896" s="1" t="str">
        <f>"9781292022468"</f>
        <v>9781292022468</v>
      </c>
      <c r="D896" s="1" t="str">
        <f>"9781292035666"</f>
        <v>9781292035666</v>
      </c>
      <c r="E896" s="1" t="s">
        <v>39</v>
      </c>
      <c r="F896" s="1" t="s">
        <v>40</v>
      </c>
      <c r="G896" s="3">
        <v>41514</v>
      </c>
      <c r="H896" s="3">
        <v>43075</v>
      </c>
      <c r="I896" s="1" t="s">
        <v>41</v>
      </c>
      <c r="J896" s="1">
        <v>13</v>
      </c>
      <c r="L896" s="1" t="s">
        <v>3017</v>
      </c>
      <c r="M896" s="1" t="s">
        <v>242</v>
      </c>
      <c r="N896" s="1" t="s">
        <v>3018</v>
      </c>
      <c r="O896" s="1">
        <v>515</v>
      </c>
      <c r="P896" s="1" t="s">
        <v>3019</v>
      </c>
      <c r="Q896" s="1" t="s">
        <v>46</v>
      </c>
      <c r="R896" s="1" t="s">
        <v>47</v>
      </c>
      <c r="S896" s="1" t="s">
        <v>47</v>
      </c>
      <c r="T896" s="1" t="s">
        <v>48</v>
      </c>
      <c r="U896" s="1" t="s">
        <v>47</v>
      </c>
      <c r="V896" s="1" t="s">
        <v>47</v>
      </c>
      <c r="W896" s="1" t="s">
        <v>47</v>
      </c>
      <c r="Z896" s="1">
        <v>41.99</v>
      </c>
      <c r="AB896" s="1" t="s">
        <v>48</v>
      </c>
      <c r="AC896" s="1">
        <v>11478803</v>
      </c>
      <c r="AD896" s="1">
        <v>527221</v>
      </c>
      <c r="AF896" s="1" t="s">
        <v>47</v>
      </c>
      <c r="AG896" s="1" t="s">
        <v>47</v>
      </c>
      <c r="AH896" s="1" t="s">
        <v>49</v>
      </c>
      <c r="AI896" s="1" t="s">
        <v>47</v>
      </c>
      <c r="AK896" s="1" t="s">
        <v>48</v>
      </c>
      <c r="AL896" s="1" t="s">
        <v>3020</v>
      </c>
    </row>
    <row r="897" spans="1:38">
      <c r="A897" s="1">
        <v>5174159</v>
      </c>
      <c r="B897" s="1" t="s">
        <v>3021</v>
      </c>
      <c r="C897" s="1" t="str">
        <f>"9780273737285"</f>
        <v>9780273737285</v>
      </c>
      <c r="D897" s="1" t="str">
        <f>"9780273737308"</f>
        <v>9780273737308</v>
      </c>
      <c r="E897" s="1" t="s">
        <v>39</v>
      </c>
      <c r="F897" s="1" t="s">
        <v>157</v>
      </c>
      <c r="G897" s="3">
        <v>40856</v>
      </c>
      <c r="H897" s="3">
        <v>43075</v>
      </c>
      <c r="I897" s="1" t="s">
        <v>41</v>
      </c>
      <c r="J897" s="1">
        <v>1</v>
      </c>
      <c r="K897" s="1" t="s">
        <v>1539</v>
      </c>
      <c r="L897" s="1" t="s">
        <v>3022</v>
      </c>
      <c r="M897" s="1" t="s">
        <v>100</v>
      </c>
      <c r="N897" s="1" t="s">
        <v>3023</v>
      </c>
      <c r="O897" s="1">
        <v>150</v>
      </c>
      <c r="P897" s="1" t="s">
        <v>3024</v>
      </c>
      <c r="Q897" s="1" t="s">
        <v>46</v>
      </c>
      <c r="R897" s="1" t="s">
        <v>48</v>
      </c>
      <c r="S897" s="1" t="s">
        <v>47</v>
      </c>
      <c r="T897" s="1" t="s">
        <v>48</v>
      </c>
      <c r="U897" s="1" t="s">
        <v>47</v>
      </c>
      <c r="V897" s="1" t="s">
        <v>47</v>
      </c>
      <c r="W897" s="1" t="s">
        <v>47</v>
      </c>
      <c r="Z897" s="1">
        <v>8.99</v>
      </c>
      <c r="AB897" s="1" t="s">
        <v>48</v>
      </c>
      <c r="AC897" s="1">
        <v>11478806</v>
      </c>
      <c r="AD897" s="1">
        <v>333400</v>
      </c>
      <c r="AF897" s="1" t="s">
        <v>47</v>
      </c>
      <c r="AG897" s="1" t="s">
        <v>47</v>
      </c>
      <c r="AH897" s="1" t="s">
        <v>49</v>
      </c>
      <c r="AI897" s="1" t="s">
        <v>47</v>
      </c>
      <c r="AK897" s="1" t="s">
        <v>48</v>
      </c>
      <c r="AL897" s="1" t="s">
        <v>3025</v>
      </c>
    </row>
    <row r="898" spans="1:38">
      <c r="A898" s="1">
        <v>5174174</v>
      </c>
      <c r="B898" s="1" t="s">
        <v>3026</v>
      </c>
      <c r="C898" s="1" t="str">
        <f>"9781292022161"</f>
        <v>9781292022161</v>
      </c>
      <c r="D898" s="1" t="str">
        <f>"9781292035369"</f>
        <v>9781292035369</v>
      </c>
      <c r="E898" s="1" t="s">
        <v>39</v>
      </c>
      <c r="F898" s="1" t="s">
        <v>40</v>
      </c>
      <c r="G898" s="3">
        <v>41513</v>
      </c>
      <c r="H898" s="3">
        <v>43075</v>
      </c>
      <c r="I898" s="1" t="s">
        <v>41</v>
      </c>
      <c r="J898" s="1">
        <v>2</v>
      </c>
      <c r="L898" s="1" t="s">
        <v>534</v>
      </c>
      <c r="M898" s="1" t="s">
        <v>100</v>
      </c>
      <c r="N898" s="1" t="s">
        <v>3027</v>
      </c>
      <c r="O898" s="1">
        <v>155</v>
      </c>
      <c r="P898" s="1" t="s">
        <v>3028</v>
      </c>
      <c r="Q898" s="1" t="s">
        <v>46</v>
      </c>
      <c r="R898" s="1" t="s">
        <v>48</v>
      </c>
      <c r="S898" s="1" t="s">
        <v>47</v>
      </c>
      <c r="T898" s="1" t="s">
        <v>48</v>
      </c>
      <c r="U898" s="1" t="s">
        <v>47</v>
      </c>
      <c r="V898" s="1" t="s">
        <v>47</v>
      </c>
      <c r="W898" s="1" t="s">
        <v>47</v>
      </c>
      <c r="Z898" s="1">
        <v>38.99</v>
      </c>
      <c r="AB898" s="1" t="s">
        <v>48</v>
      </c>
      <c r="AC898" s="1">
        <v>11478818</v>
      </c>
      <c r="AD898" s="1">
        <v>527321</v>
      </c>
      <c r="AF898" s="1" t="s">
        <v>47</v>
      </c>
      <c r="AG898" s="1" t="s">
        <v>47</v>
      </c>
      <c r="AH898" s="1" t="s">
        <v>49</v>
      </c>
      <c r="AI898" s="1" t="s">
        <v>47</v>
      </c>
      <c r="AK898" s="1" t="s">
        <v>48</v>
      </c>
      <c r="AL898" s="1" t="s">
        <v>3029</v>
      </c>
    </row>
    <row r="899" spans="1:38">
      <c r="A899" s="1">
        <v>5174180</v>
      </c>
      <c r="B899" s="1" t="s">
        <v>518</v>
      </c>
      <c r="C899" s="1" t="str">
        <f>"9781292020730"</f>
        <v>9781292020730</v>
      </c>
      <c r="D899" s="1" t="str">
        <f>"9781292033983"</f>
        <v>9781292033983</v>
      </c>
      <c r="E899" s="1" t="s">
        <v>39</v>
      </c>
      <c r="F899" s="1" t="s">
        <v>40</v>
      </c>
      <c r="G899" s="3">
        <v>41513</v>
      </c>
      <c r="H899" s="3">
        <v>43076</v>
      </c>
      <c r="I899" s="1" t="s">
        <v>41</v>
      </c>
      <c r="J899" s="1">
        <v>10</v>
      </c>
      <c r="L899" s="1" t="s">
        <v>3030</v>
      </c>
      <c r="M899" s="1" t="s">
        <v>54</v>
      </c>
      <c r="O899" s="1">
        <v>370.15</v>
      </c>
      <c r="Q899" s="1" t="s">
        <v>46</v>
      </c>
      <c r="R899" s="1" t="s">
        <v>48</v>
      </c>
      <c r="S899" s="1" t="s">
        <v>47</v>
      </c>
      <c r="T899" s="1" t="s">
        <v>48</v>
      </c>
      <c r="U899" s="1" t="s">
        <v>47</v>
      </c>
      <c r="V899" s="1" t="s">
        <v>47</v>
      </c>
      <c r="W899" s="1" t="s">
        <v>47</v>
      </c>
      <c r="Z899" s="1">
        <v>38.99</v>
      </c>
      <c r="AB899" s="1" t="s">
        <v>48</v>
      </c>
      <c r="AC899" s="1">
        <v>11479751</v>
      </c>
      <c r="AD899" s="1">
        <v>526948</v>
      </c>
      <c r="AF899" s="1" t="s">
        <v>47</v>
      </c>
      <c r="AG899" s="1" t="s">
        <v>47</v>
      </c>
      <c r="AH899" s="1" t="s">
        <v>49</v>
      </c>
      <c r="AI899" s="1" t="s">
        <v>47</v>
      </c>
      <c r="AK899" s="1" t="s">
        <v>48</v>
      </c>
      <c r="AL899" s="1" t="s">
        <v>3031</v>
      </c>
    </row>
    <row r="900" spans="1:38">
      <c r="A900" s="1">
        <v>5174224</v>
      </c>
      <c r="B900" s="1" t="s">
        <v>2877</v>
      </c>
      <c r="C900" s="1" t="str">
        <f>"9781292021478"</f>
        <v>9781292021478</v>
      </c>
      <c r="D900" s="1" t="str">
        <f>"9781292034706"</f>
        <v>9781292034706</v>
      </c>
      <c r="E900" s="1" t="s">
        <v>39</v>
      </c>
      <c r="F900" s="1" t="s">
        <v>40</v>
      </c>
      <c r="G900" s="3">
        <v>41513</v>
      </c>
      <c r="H900" s="3">
        <v>43075</v>
      </c>
      <c r="I900" s="1" t="s">
        <v>41</v>
      </c>
      <c r="J900" s="1">
        <v>5</v>
      </c>
      <c r="L900" s="1" t="s">
        <v>3032</v>
      </c>
      <c r="M900" s="1" t="s">
        <v>100</v>
      </c>
      <c r="N900" s="1" t="s">
        <v>3033</v>
      </c>
      <c r="O900" s="1">
        <v>153.12</v>
      </c>
      <c r="P900" s="1" t="s">
        <v>3034</v>
      </c>
      <c r="Q900" s="1" t="s">
        <v>46</v>
      </c>
      <c r="R900" s="1" t="s">
        <v>48</v>
      </c>
      <c r="S900" s="1" t="s">
        <v>47</v>
      </c>
      <c r="T900" s="1" t="s">
        <v>48</v>
      </c>
      <c r="U900" s="1" t="s">
        <v>47</v>
      </c>
      <c r="V900" s="1" t="s">
        <v>47</v>
      </c>
      <c r="W900" s="1" t="s">
        <v>47</v>
      </c>
      <c r="Z900" s="1">
        <v>36.74</v>
      </c>
      <c r="AB900" s="1" t="s">
        <v>48</v>
      </c>
      <c r="AC900" s="1">
        <v>11478856</v>
      </c>
      <c r="AD900" s="1">
        <v>527230</v>
      </c>
      <c r="AF900" s="1" t="s">
        <v>47</v>
      </c>
      <c r="AG900" s="1" t="s">
        <v>47</v>
      </c>
      <c r="AH900" s="1" t="s">
        <v>49</v>
      </c>
      <c r="AI900" s="1" t="s">
        <v>47</v>
      </c>
      <c r="AK900" s="1" t="s">
        <v>48</v>
      </c>
      <c r="AL900" s="1" t="s">
        <v>3035</v>
      </c>
    </row>
    <row r="901" spans="1:38">
      <c r="A901" s="1">
        <v>5174247</v>
      </c>
      <c r="B901" s="1" t="s">
        <v>3036</v>
      </c>
      <c r="C901" s="1" t="str">
        <f>"9781292021621"</f>
        <v>9781292021621</v>
      </c>
      <c r="D901" s="1" t="str">
        <f>"9781292034850"</f>
        <v>9781292034850</v>
      </c>
      <c r="E901" s="1" t="s">
        <v>39</v>
      </c>
      <c r="F901" s="1" t="s">
        <v>40</v>
      </c>
      <c r="G901" s="3">
        <v>41513</v>
      </c>
      <c r="H901" s="3">
        <v>43075</v>
      </c>
      <c r="I901" s="1" t="s">
        <v>41</v>
      </c>
      <c r="J901" s="1">
        <v>20</v>
      </c>
      <c r="L901" s="1" t="s">
        <v>3037</v>
      </c>
      <c r="M901" s="1" t="s">
        <v>100</v>
      </c>
      <c r="N901" s="1" t="s">
        <v>3038</v>
      </c>
      <c r="O901" s="1">
        <v>150</v>
      </c>
      <c r="P901" s="1" t="s">
        <v>3039</v>
      </c>
      <c r="Q901" s="1" t="s">
        <v>46</v>
      </c>
      <c r="R901" s="1" t="s">
        <v>48</v>
      </c>
      <c r="S901" s="1" t="s">
        <v>47</v>
      </c>
      <c r="T901" s="1" t="s">
        <v>48</v>
      </c>
      <c r="U901" s="1" t="s">
        <v>47</v>
      </c>
      <c r="V901" s="1" t="s">
        <v>47</v>
      </c>
      <c r="W901" s="1" t="s">
        <v>47</v>
      </c>
      <c r="Z901" s="1">
        <v>38.99</v>
      </c>
      <c r="AB901" s="1" t="s">
        <v>48</v>
      </c>
      <c r="AC901" s="1">
        <v>11478876</v>
      </c>
      <c r="AD901" s="1">
        <v>527048</v>
      </c>
      <c r="AF901" s="1" t="s">
        <v>47</v>
      </c>
      <c r="AG901" s="1" t="s">
        <v>47</v>
      </c>
      <c r="AH901" s="1" t="s">
        <v>49</v>
      </c>
      <c r="AI901" s="1" t="s">
        <v>47</v>
      </c>
      <c r="AK901" s="1" t="s">
        <v>48</v>
      </c>
      <c r="AL901" s="1" t="s">
        <v>3040</v>
      </c>
    </row>
    <row r="902" spans="1:38">
      <c r="A902" s="1">
        <v>5174261</v>
      </c>
      <c r="B902" s="1" t="s">
        <v>3041</v>
      </c>
      <c r="C902" s="1" t="str">
        <f>"9780273760894"</f>
        <v>9780273760894</v>
      </c>
      <c r="D902" s="1" t="str">
        <f>"9780273760917"</f>
        <v>9780273760917</v>
      </c>
      <c r="E902" s="1" t="s">
        <v>39</v>
      </c>
      <c r="F902" s="1" t="s">
        <v>40</v>
      </c>
      <c r="G902" s="3">
        <v>41180</v>
      </c>
      <c r="H902" s="3">
        <v>43076</v>
      </c>
      <c r="I902" s="1" t="s">
        <v>41</v>
      </c>
      <c r="J902" s="1">
        <v>1</v>
      </c>
      <c r="L902" s="1" t="s">
        <v>3042</v>
      </c>
      <c r="M902" s="1" t="s">
        <v>59</v>
      </c>
      <c r="O902" s="1">
        <v>659.1</v>
      </c>
      <c r="Q902" s="1" t="s">
        <v>46</v>
      </c>
      <c r="R902" s="1" t="s">
        <v>48</v>
      </c>
      <c r="S902" s="1" t="s">
        <v>47</v>
      </c>
      <c r="T902" s="1" t="s">
        <v>48</v>
      </c>
      <c r="U902" s="1" t="s">
        <v>47</v>
      </c>
      <c r="V902" s="1" t="s">
        <v>47</v>
      </c>
      <c r="W902" s="1" t="s">
        <v>47</v>
      </c>
      <c r="Z902" s="1">
        <v>30.74</v>
      </c>
      <c r="AB902" s="1" t="s">
        <v>48</v>
      </c>
      <c r="AC902" s="1">
        <v>11479806</v>
      </c>
      <c r="AD902" s="1">
        <v>462975</v>
      </c>
      <c r="AF902" s="1" t="s">
        <v>47</v>
      </c>
      <c r="AG902" s="1" t="s">
        <v>47</v>
      </c>
      <c r="AH902" s="1" t="s">
        <v>49</v>
      </c>
      <c r="AI902" s="1" t="s">
        <v>47</v>
      </c>
      <c r="AK902" s="1" t="s">
        <v>48</v>
      </c>
      <c r="AL902" s="1" t="s">
        <v>3043</v>
      </c>
    </row>
    <row r="903" spans="1:38">
      <c r="A903" s="1">
        <v>5174299</v>
      </c>
      <c r="B903" s="1" t="s">
        <v>3044</v>
      </c>
      <c r="C903" s="1" t="str">
        <f>"9781292024929"</f>
        <v>9781292024929</v>
      </c>
      <c r="D903" s="1" t="str">
        <f>"9781292037561"</f>
        <v>9781292037561</v>
      </c>
      <c r="E903" s="1" t="s">
        <v>39</v>
      </c>
      <c r="F903" s="1" t="s">
        <v>40</v>
      </c>
      <c r="G903" s="3">
        <v>41515</v>
      </c>
      <c r="H903" s="3">
        <v>43084</v>
      </c>
      <c r="I903" s="1" t="s">
        <v>41</v>
      </c>
      <c r="J903" s="1">
        <v>9</v>
      </c>
      <c r="L903" s="1" t="s">
        <v>3045</v>
      </c>
      <c r="M903" s="1" t="s">
        <v>242</v>
      </c>
      <c r="N903" s="1" t="s">
        <v>3046</v>
      </c>
      <c r="O903" s="1">
        <v>519.20000000000005</v>
      </c>
      <c r="P903" s="1" t="s">
        <v>3047</v>
      </c>
      <c r="Q903" s="1" t="s">
        <v>46</v>
      </c>
      <c r="R903" s="1" t="s">
        <v>48</v>
      </c>
      <c r="S903" s="1" t="s">
        <v>47</v>
      </c>
      <c r="T903" s="1" t="s">
        <v>48</v>
      </c>
      <c r="U903" s="1" t="s">
        <v>47</v>
      </c>
      <c r="V903" s="1" t="s">
        <v>47</v>
      </c>
      <c r="W903" s="1" t="s">
        <v>47</v>
      </c>
      <c r="Z903" s="1">
        <v>37.49</v>
      </c>
      <c r="AB903" s="1" t="s">
        <v>48</v>
      </c>
      <c r="AC903" s="1">
        <v>11482814</v>
      </c>
      <c r="AD903" s="1">
        <v>527423</v>
      </c>
      <c r="AF903" s="1" t="s">
        <v>47</v>
      </c>
      <c r="AG903" s="1" t="s">
        <v>47</v>
      </c>
      <c r="AH903" s="1" t="s">
        <v>49</v>
      </c>
      <c r="AI903" s="1" t="s">
        <v>47</v>
      </c>
      <c r="AK903" s="1" t="s">
        <v>48</v>
      </c>
      <c r="AL903" s="1" t="s">
        <v>3048</v>
      </c>
    </row>
    <row r="904" spans="1:38">
      <c r="A904" s="1">
        <v>5174314</v>
      </c>
      <c r="B904" s="1" t="s">
        <v>3049</v>
      </c>
      <c r="C904" s="1" t="str">
        <f>"9781292039862"</f>
        <v>9781292039862</v>
      </c>
      <c r="D904" s="1" t="str">
        <f>"9781292053585"</f>
        <v>9781292053585</v>
      </c>
      <c r="E904" s="1" t="s">
        <v>39</v>
      </c>
      <c r="F904" s="1" t="s">
        <v>40</v>
      </c>
      <c r="G904" s="3">
        <v>41550</v>
      </c>
      <c r="H904" s="3">
        <v>43083</v>
      </c>
      <c r="I904" s="1" t="s">
        <v>41</v>
      </c>
      <c r="J904" s="1">
        <v>11</v>
      </c>
      <c r="L904" s="1" t="s">
        <v>2868</v>
      </c>
      <c r="M904" s="1" t="s">
        <v>372</v>
      </c>
      <c r="N904" s="1" t="s">
        <v>3050</v>
      </c>
      <c r="O904" s="1">
        <v>361.1</v>
      </c>
      <c r="P904" s="1" t="s">
        <v>3051</v>
      </c>
      <c r="Q904" s="1" t="s">
        <v>46</v>
      </c>
      <c r="R904" s="1" t="s">
        <v>48</v>
      </c>
      <c r="S904" s="1" t="s">
        <v>47</v>
      </c>
      <c r="T904" s="1" t="s">
        <v>48</v>
      </c>
      <c r="U904" s="1" t="s">
        <v>47</v>
      </c>
      <c r="V904" s="1" t="s">
        <v>47</v>
      </c>
      <c r="W904" s="1" t="s">
        <v>47</v>
      </c>
      <c r="Z904" s="1">
        <v>33.74</v>
      </c>
      <c r="AB904" s="1" t="s">
        <v>48</v>
      </c>
      <c r="AC904" s="1">
        <v>11481537</v>
      </c>
      <c r="AD904" s="1">
        <v>543534</v>
      </c>
      <c r="AF904" s="1" t="s">
        <v>47</v>
      </c>
      <c r="AG904" s="1" t="s">
        <v>47</v>
      </c>
      <c r="AH904" s="1" t="s">
        <v>49</v>
      </c>
      <c r="AI904" s="1" t="s">
        <v>47</v>
      </c>
      <c r="AK904" s="1" t="s">
        <v>48</v>
      </c>
      <c r="AL904" s="1" t="s">
        <v>3052</v>
      </c>
    </row>
    <row r="905" spans="1:38">
      <c r="A905" s="1">
        <v>5174321</v>
      </c>
      <c r="B905" s="1" t="s">
        <v>3053</v>
      </c>
      <c r="C905" s="1" t="str">
        <f>"9781292027777"</f>
        <v>9781292027777</v>
      </c>
      <c r="D905" s="1" t="str">
        <f>"9781292055459"</f>
        <v>9781292055459</v>
      </c>
      <c r="E905" s="1" t="s">
        <v>39</v>
      </c>
      <c r="F905" s="1" t="s">
        <v>40</v>
      </c>
      <c r="G905" s="3">
        <v>41550</v>
      </c>
      <c r="H905" s="3">
        <v>43084</v>
      </c>
      <c r="I905" s="1" t="s">
        <v>41</v>
      </c>
      <c r="J905" s="1">
        <v>8</v>
      </c>
      <c r="L905" s="1" t="s">
        <v>3054</v>
      </c>
      <c r="M905" s="1" t="s">
        <v>3055</v>
      </c>
      <c r="N905" s="1" t="s">
        <v>3056</v>
      </c>
      <c r="O905" s="1">
        <v>610.73</v>
      </c>
      <c r="P905" s="1" t="s">
        <v>3057</v>
      </c>
      <c r="Q905" s="1" t="s">
        <v>46</v>
      </c>
      <c r="R905" s="1" t="s">
        <v>48</v>
      </c>
      <c r="S905" s="1" t="s">
        <v>47</v>
      </c>
      <c r="T905" s="1" t="s">
        <v>48</v>
      </c>
      <c r="U905" s="1" t="s">
        <v>47</v>
      </c>
      <c r="V905" s="1" t="s">
        <v>47</v>
      </c>
      <c r="W905" s="1" t="s">
        <v>47</v>
      </c>
      <c r="Z905" s="1">
        <v>39.74</v>
      </c>
      <c r="AB905" s="1" t="s">
        <v>48</v>
      </c>
      <c r="AC905" s="1">
        <v>11482829</v>
      </c>
      <c r="AD905" s="1">
        <v>543447</v>
      </c>
      <c r="AF905" s="1" t="s">
        <v>47</v>
      </c>
      <c r="AG905" s="1" t="s">
        <v>47</v>
      </c>
      <c r="AH905" s="1" t="s">
        <v>49</v>
      </c>
      <c r="AI905" s="1" t="s">
        <v>47</v>
      </c>
      <c r="AK905" s="1" t="s">
        <v>48</v>
      </c>
      <c r="AL905" s="1" t="s">
        <v>3058</v>
      </c>
    </row>
    <row r="906" spans="1:38">
      <c r="A906" s="1">
        <v>5174347</v>
      </c>
      <c r="B906" s="1" t="s">
        <v>3059</v>
      </c>
      <c r="C906" s="1" t="str">
        <f>"9781292039497"</f>
        <v>9781292039497</v>
      </c>
      <c r="D906" s="1" t="str">
        <f>"9781292053059"</f>
        <v>9781292053059</v>
      </c>
      <c r="E906" s="1" t="s">
        <v>39</v>
      </c>
      <c r="F906" s="1" t="s">
        <v>40</v>
      </c>
      <c r="G906" s="3">
        <v>41550</v>
      </c>
      <c r="H906" s="3">
        <v>43083</v>
      </c>
      <c r="I906" s="1" t="s">
        <v>41</v>
      </c>
      <c r="J906" s="1">
        <v>9</v>
      </c>
      <c r="L906" s="1" t="s">
        <v>3060</v>
      </c>
      <c r="M906" s="1" t="s">
        <v>1156</v>
      </c>
      <c r="N906" s="1" t="s">
        <v>3061</v>
      </c>
      <c r="O906" s="1">
        <v>746.92</v>
      </c>
      <c r="P906" s="1" t="s">
        <v>3062</v>
      </c>
      <c r="Q906" s="1" t="s">
        <v>46</v>
      </c>
      <c r="R906" s="1" t="s">
        <v>48</v>
      </c>
      <c r="S906" s="1" t="s">
        <v>47</v>
      </c>
      <c r="T906" s="1" t="s">
        <v>48</v>
      </c>
      <c r="U906" s="1" t="s">
        <v>47</v>
      </c>
      <c r="V906" s="1" t="s">
        <v>47</v>
      </c>
      <c r="W906" s="1" t="s">
        <v>47</v>
      </c>
      <c r="Z906" s="1">
        <v>38.99</v>
      </c>
      <c r="AB906" s="1" t="s">
        <v>48</v>
      </c>
      <c r="AC906" s="1">
        <v>11481549</v>
      </c>
      <c r="AD906" s="1">
        <v>543354</v>
      </c>
      <c r="AF906" s="1" t="s">
        <v>47</v>
      </c>
      <c r="AG906" s="1" t="s">
        <v>47</v>
      </c>
      <c r="AH906" s="1" t="s">
        <v>49</v>
      </c>
      <c r="AI906" s="1" t="s">
        <v>47</v>
      </c>
      <c r="AK906" s="1" t="s">
        <v>48</v>
      </c>
      <c r="AL906" s="1" t="s">
        <v>3063</v>
      </c>
    </row>
    <row r="907" spans="1:38">
      <c r="A907" s="1">
        <v>5174353</v>
      </c>
      <c r="B907" s="1" t="s">
        <v>1148</v>
      </c>
      <c r="C907" s="1" t="str">
        <f>"9781292039442"</f>
        <v>9781292039442</v>
      </c>
      <c r="D907" s="1" t="str">
        <f>"9781292055596"</f>
        <v>9781292055596</v>
      </c>
      <c r="E907" s="1" t="s">
        <v>39</v>
      </c>
      <c r="F907" s="1" t="s">
        <v>40</v>
      </c>
      <c r="G907" s="3">
        <v>41550</v>
      </c>
      <c r="H907" s="3">
        <v>43080</v>
      </c>
      <c r="I907" s="1" t="s">
        <v>41</v>
      </c>
      <c r="J907" s="1">
        <v>9</v>
      </c>
      <c r="L907" s="1" t="s">
        <v>2516</v>
      </c>
      <c r="M907" s="1" t="s">
        <v>242</v>
      </c>
      <c r="N907" s="1" t="s">
        <v>3064</v>
      </c>
      <c r="O907" s="1">
        <v>512.9</v>
      </c>
      <c r="P907" s="1" t="s">
        <v>3065</v>
      </c>
      <c r="Q907" s="1" t="s">
        <v>46</v>
      </c>
      <c r="R907" s="1" t="s">
        <v>48</v>
      </c>
      <c r="S907" s="1" t="s">
        <v>47</v>
      </c>
      <c r="T907" s="1" t="s">
        <v>48</v>
      </c>
      <c r="U907" s="1" t="s">
        <v>47</v>
      </c>
      <c r="V907" s="1" t="s">
        <v>47</v>
      </c>
      <c r="W907" s="1" t="s">
        <v>47</v>
      </c>
      <c r="Z907" s="1">
        <v>33.74</v>
      </c>
      <c r="AB907" s="1" t="s">
        <v>48</v>
      </c>
      <c r="AC907" s="1">
        <v>11480742</v>
      </c>
      <c r="AD907" s="1">
        <v>543350</v>
      </c>
      <c r="AF907" s="1" t="s">
        <v>47</v>
      </c>
      <c r="AG907" s="1" t="s">
        <v>47</v>
      </c>
      <c r="AH907" s="1" t="s">
        <v>49</v>
      </c>
      <c r="AI907" s="1" t="s">
        <v>47</v>
      </c>
      <c r="AK907" s="1" t="s">
        <v>48</v>
      </c>
      <c r="AL907" s="1" t="s">
        <v>3066</v>
      </c>
    </row>
    <row r="908" spans="1:38">
      <c r="A908" s="1">
        <v>5174482</v>
      </c>
      <c r="B908" s="1" t="s">
        <v>3067</v>
      </c>
      <c r="C908" s="1" t="str">
        <f>"9781292041988"</f>
        <v>9781292041988</v>
      </c>
      <c r="D908" s="1" t="str">
        <f>"9781292051871"</f>
        <v>9781292051871</v>
      </c>
      <c r="E908" s="1" t="s">
        <v>39</v>
      </c>
      <c r="F908" s="1" t="s">
        <v>40</v>
      </c>
      <c r="G908" s="3">
        <v>41550</v>
      </c>
      <c r="H908" s="3">
        <v>43084</v>
      </c>
      <c r="I908" s="1" t="s">
        <v>41</v>
      </c>
      <c r="J908" s="1">
        <v>8</v>
      </c>
      <c r="L908" s="1" t="s">
        <v>3068</v>
      </c>
      <c r="M908" s="1" t="s">
        <v>3069</v>
      </c>
      <c r="N908" s="1" t="s">
        <v>3070</v>
      </c>
      <c r="O908" s="1" t="s">
        <v>3071</v>
      </c>
      <c r="P908" s="1" t="s">
        <v>3072</v>
      </c>
      <c r="Q908" s="1" t="s">
        <v>46</v>
      </c>
      <c r="R908" s="1" t="s">
        <v>48</v>
      </c>
      <c r="S908" s="1" t="s">
        <v>47</v>
      </c>
      <c r="T908" s="1" t="s">
        <v>48</v>
      </c>
      <c r="U908" s="1" t="s">
        <v>47</v>
      </c>
      <c r="V908" s="1" t="s">
        <v>47</v>
      </c>
      <c r="W908" s="1" t="s">
        <v>47</v>
      </c>
      <c r="Z908" s="1">
        <v>35.24</v>
      </c>
      <c r="AB908" s="1" t="s">
        <v>48</v>
      </c>
      <c r="AC908" s="1">
        <v>11482930</v>
      </c>
      <c r="AD908" s="1">
        <v>543332</v>
      </c>
      <c r="AF908" s="1" t="s">
        <v>47</v>
      </c>
      <c r="AG908" s="1" t="s">
        <v>47</v>
      </c>
      <c r="AH908" s="1" t="s">
        <v>49</v>
      </c>
      <c r="AI908" s="1" t="s">
        <v>47</v>
      </c>
      <c r="AK908" s="1" t="s">
        <v>48</v>
      </c>
      <c r="AL908" s="1" t="s">
        <v>3073</v>
      </c>
    </row>
    <row r="909" spans="1:38">
      <c r="A909" s="1">
        <v>5174492</v>
      </c>
      <c r="B909" s="1" t="s">
        <v>3074</v>
      </c>
      <c r="C909" s="1" t="str">
        <f>"9781292024813"</f>
        <v>9781292024813</v>
      </c>
      <c r="D909" s="1" t="str">
        <f>"9781292037486"</f>
        <v>9781292037486</v>
      </c>
      <c r="E909" s="1" t="s">
        <v>39</v>
      </c>
      <c r="F909" s="1" t="s">
        <v>40</v>
      </c>
      <c r="G909" s="3">
        <v>41515</v>
      </c>
      <c r="H909" s="3">
        <v>43084</v>
      </c>
      <c r="I909" s="1" t="s">
        <v>41</v>
      </c>
      <c r="J909" s="1">
        <v>5</v>
      </c>
      <c r="L909" s="1" t="s">
        <v>3075</v>
      </c>
      <c r="M909" s="1" t="s">
        <v>3076</v>
      </c>
      <c r="N909" s="1" t="s">
        <v>3077</v>
      </c>
      <c r="O909" s="1">
        <v>646.40719999999999</v>
      </c>
      <c r="P909" s="1" t="s">
        <v>3078</v>
      </c>
      <c r="Q909" s="1" t="s">
        <v>46</v>
      </c>
      <c r="R909" s="1" t="s">
        <v>48</v>
      </c>
      <c r="S909" s="1" t="s">
        <v>47</v>
      </c>
      <c r="T909" s="1" t="s">
        <v>48</v>
      </c>
      <c r="U909" s="1" t="s">
        <v>47</v>
      </c>
      <c r="V909" s="1" t="s">
        <v>47</v>
      </c>
      <c r="W909" s="1" t="s">
        <v>47</v>
      </c>
      <c r="Z909" s="1">
        <v>35.24</v>
      </c>
      <c r="AB909" s="1" t="s">
        <v>48</v>
      </c>
      <c r="AC909" s="1">
        <v>11482938</v>
      </c>
      <c r="AD909" s="1">
        <v>527095</v>
      </c>
      <c r="AF909" s="1" t="s">
        <v>47</v>
      </c>
      <c r="AG909" s="1" t="s">
        <v>47</v>
      </c>
      <c r="AH909" s="1" t="s">
        <v>49</v>
      </c>
      <c r="AI909" s="1" t="s">
        <v>47</v>
      </c>
      <c r="AK909" s="1" t="s">
        <v>48</v>
      </c>
      <c r="AL909" s="1" t="s">
        <v>3079</v>
      </c>
    </row>
    <row r="910" spans="1:38">
      <c r="A910" s="1">
        <v>5174554</v>
      </c>
      <c r="B910" s="1" t="s">
        <v>3080</v>
      </c>
      <c r="C910" s="1" t="str">
        <f>"9781292042237"</f>
        <v>9781292042237</v>
      </c>
      <c r="D910" s="1" t="str">
        <f>"9781292052106"</f>
        <v>9781292052106</v>
      </c>
      <c r="E910" s="1" t="s">
        <v>39</v>
      </c>
      <c r="F910" s="1" t="s">
        <v>40</v>
      </c>
      <c r="G910" s="3">
        <v>41550</v>
      </c>
      <c r="H910" s="3">
        <v>43084</v>
      </c>
      <c r="I910" s="1" t="s">
        <v>41</v>
      </c>
      <c r="J910" s="1">
        <v>6</v>
      </c>
      <c r="L910" s="1" t="s">
        <v>3081</v>
      </c>
      <c r="M910" s="1" t="s">
        <v>100</v>
      </c>
      <c r="N910" s="1" t="s">
        <v>3082</v>
      </c>
      <c r="O910" s="1">
        <v>150.9</v>
      </c>
      <c r="P910" s="1" t="s">
        <v>3024</v>
      </c>
      <c r="Q910" s="1" t="s">
        <v>46</v>
      </c>
      <c r="R910" s="1" t="s">
        <v>48</v>
      </c>
      <c r="S910" s="1" t="s">
        <v>47</v>
      </c>
      <c r="T910" s="1" t="s">
        <v>48</v>
      </c>
      <c r="U910" s="1" t="s">
        <v>47</v>
      </c>
      <c r="V910" s="1" t="s">
        <v>47</v>
      </c>
      <c r="W910" s="1" t="s">
        <v>47</v>
      </c>
      <c r="Z910" s="1">
        <v>35.24</v>
      </c>
      <c r="AB910" s="1" t="s">
        <v>48</v>
      </c>
      <c r="AC910" s="1">
        <v>11482977</v>
      </c>
      <c r="AD910" s="1">
        <v>543482</v>
      </c>
      <c r="AF910" s="1" t="s">
        <v>47</v>
      </c>
      <c r="AG910" s="1" t="s">
        <v>47</v>
      </c>
      <c r="AH910" s="1" t="s">
        <v>49</v>
      </c>
      <c r="AI910" s="1" t="s">
        <v>47</v>
      </c>
      <c r="AK910" s="1" t="s">
        <v>48</v>
      </c>
      <c r="AL910" s="1" t="s">
        <v>3083</v>
      </c>
    </row>
    <row r="911" spans="1:38">
      <c r="A911" s="1">
        <v>5174607</v>
      </c>
      <c r="B911" s="1" t="s">
        <v>3084</v>
      </c>
      <c r="C911" s="1" t="str">
        <f>"9781292025728"</f>
        <v>9781292025728</v>
      </c>
      <c r="D911" s="1" t="str">
        <f>"9781292038155"</f>
        <v>9781292038155</v>
      </c>
      <c r="E911" s="1" t="s">
        <v>39</v>
      </c>
      <c r="F911" s="1" t="s">
        <v>40</v>
      </c>
      <c r="G911" s="3">
        <v>41515</v>
      </c>
      <c r="H911" s="3">
        <v>43083</v>
      </c>
      <c r="I911" s="1" t="s">
        <v>41</v>
      </c>
      <c r="J911" s="1">
        <v>3</v>
      </c>
      <c r="L911" s="1" t="s">
        <v>3085</v>
      </c>
      <c r="M911" s="1" t="s">
        <v>280</v>
      </c>
      <c r="N911" s="1" t="s">
        <v>3086</v>
      </c>
      <c r="O911" s="1">
        <v>621.38220000000001</v>
      </c>
      <c r="P911" s="1" t="s">
        <v>3087</v>
      </c>
      <c r="Q911" s="1" t="s">
        <v>46</v>
      </c>
      <c r="R911" s="1" t="s">
        <v>48</v>
      </c>
      <c r="S911" s="1" t="s">
        <v>47</v>
      </c>
      <c r="T911" s="1" t="s">
        <v>48</v>
      </c>
      <c r="U911" s="1" t="s">
        <v>47</v>
      </c>
      <c r="V911" s="1" t="s">
        <v>47</v>
      </c>
      <c r="W911" s="1" t="s">
        <v>47</v>
      </c>
      <c r="Z911" s="1">
        <v>42.74</v>
      </c>
      <c r="AB911" s="1" t="s">
        <v>48</v>
      </c>
      <c r="AC911" s="1">
        <v>11481621</v>
      </c>
      <c r="AD911" s="1">
        <v>527350</v>
      </c>
      <c r="AF911" s="1" t="s">
        <v>47</v>
      </c>
      <c r="AG911" s="1" t="s">
        <v>47</v>
      </c>
      <c r="AH911" s="1" t="s">
        <v>49</v>
      </c>
      <c r="AI911" s="1" t="s">
        <v>47</v>
      </c>
      <c r="AK911" s="1" t="s">
        <v>48</v>
      </c>
      <c r="AL911" s="1" t="s">
        <v>3088</v>
      </c>
    </row>
    <row r="912" spans="1:38">
      <c r="A912" s="1">
        <v>5174632</v>
      </c>
      <c r="B912" s="1" t="s">
        <v>3089</v>
      </c>
      <c r="C912" s="1" t="str">
        <f>"9781292039176"</f>
        <v>9781292039176</v>
      </c>
      <c r="D912" s="1" t="str">
        <f>"9781292054506"</f>
        <v>9781292054506</v>
      </c>
      <c r="E912" s="1" t="s">
        <v>39</v>
      </c>
      <c r="F912" s="1" t="s">
        <v>40</v>
      </c>
      <c r="G912" s="3">
        <v>41550</v>
      </c>
      <c r="H912" s="3">
        <v>43084</v>
      </c>
      <c r="I912" s="1" t="s">
        <v>41</v>
      </c>
      <c r="J912" s="1">
        <v>1</v>
      </c>
      <c r="L912" s="1" t="s">
        <v>3090</v>
      </c>
      <c r="M912" s="1" t="s">
        <v>100</v>
      </c>
      <c r="N912" s="1" t="s">
        <v>3091</v>
      </c>
      <c r="O912" s="1">
        <v>155.19999999999999</v>
      </c>
      <c r="P912" s="1" t="s">
        <v>3092</v>
      </c>
      <c r="Q912" s="1" t="s">
        <v>46</v>
      </c>
      <c r="R912" s="1" t="s">
        <v>48</v>
      </c>
      <c r="S912" s="1" t="s">
        <v>47</v>
      </c>
      <c r="T912" s="1" t="s">
        <v>48</v>
      </c>
      <c r="U912" s="1" t="s">
        <v>47</v>
      </c>
      <c r="V912" s="1" t="s">
        <v>47</v>
      </c>
      <c r="W912" s="1" t="s">
        <v>47</v>
      </c>
      <c r="Z912" s="1">
        <v>35.99</v>
      </c>
      <c r="AB912" s="1" t="s">
        <v>48</v>
      </c>
      <c r="AC912" s="1">
        <v>11483036</v>
      </c>
      <c r="AD912" s="1">
        <v>543328</v>
      </c>
      <c r="AF912" s="1" t="s">
        <v>47</v>
      </c>
      <c r="AG912" s="1" t="s">
        <v>47</v>
      </c>
      <c r="AH912" s="1" t="s">
        <v>49</v>
      </c>
      <c r="AI912" s="1" t="s">
        <v>47</v>
      </c>
      <c r="AK912" s="1" t="s">
        <v>48</v>
      </c>
      <c r="AL912" s="1" t="s">
        <v>3093</v>
      </c>
    </row>
    <row r="913" spans="1:38">
      <c r="A913" s="1">
        <v>5174771</v>
      </c>
      <c r="B913" s="1" t="s">
        <v>3094</v>
      </c>
      <c r="C913" s="1" t="str">
        <f>"9781292025735"</f>
        <v>9781292025735</v>
      </c>
      <c r="D913" s="1" t="str">
        <f>"9781292038162"</f>
        <v>9781292038162</v>
      </c>
      <c r="E913" s="1" t="s">
        <v>39</v>
      </c>
      <c r="F913" s="1" t="s">
        <v>40</v>
      </c>
      <c r="G913" s="3">
        <v>41515</v>
      </c>
      <c r="H913" s="3">
        <v>43083</v>
      </c>
      <c r="I913" s="1" t="s">
        <v>41</v>
      </c>
      <c r="J913" s="1">
        <v>4</v>
      </c>
      <c r="L913" s="1" t="s">
        <v>3095</v>
      </c>
      <c r="M913" s="1" t="s">
        <v>280</v>
      </c>
      <c r="N913" s="1" t="s">
        <v>3096</v>
      </c>
      <c r="O913" s="1">
        <v>621.38220000000001</v>
      </c>
      <c r="P913" s="1" t="s">
        <v>3097</v>
      </c>
      <c r="Q913" s="1" t="s">
        <v>46</v>
      </c>
      <c r="R913" s="1" t="s">
        <v>48</v>
      </c>
      <c r="S913" s="1" t="s">
        <v>47</v>
      </c>
      <c r="T913" s="1" t="s">
        <v>48</v>
      </c>
      <c r="U913" s="1" t="s">
        <v>47</v>
      </c>
      <c r="V913" s="1" t="s">
        <v>47</v>
      </c>
      <c r="W913" s="1" t="s">
        <v>47</v>
      </c>
      <c r="Z913" s="1">
        <v>42.74</v>
      </c>
      <c r="AB913" s="1" t="s">
        <v>48</v>
      </c>
      <c r="AC913" s="1">
        <v>11481669</v>
      </c>
      <c r="AD913" s="1">
        <v>527074</v>
      </c>
      <c r="AF913" s="1" t="s">
        <v>47</v>
      </c>
      <c r="AG913" s="1" t="s">
        <v>47</v>
      </c>
      <c r="AH913" s="1" t="s">
        <v>49</v>
      </c>
      <c r="AI913" s="1" t="s">
        <v>47</v>
      </c>
      <c r="AK913" s="1" t="s">
        <v>48</v>
      </c>
      <c r="AL913" s="1" t="s">
        <v>3098</v>
      </c>
    </row>
    <row r="914" spans="1:38">
      <c r="A914" s="1">
        <v>5174790</v>
      </c>
      <c r="B914" s="1" t="s">
        <v>3099</v>
      </c>
      <c r="C914" s="1" t="str">
        <f>"9781292040219"</f>
        <v>9781292040219</v>
      </c>
      <c r="D914" s="1" t="str">
        <f>"9781292051918"</f>
        <v>9781292051918</v>
      </c>
      <c r="E914" s="1" t="s">
        <v>39</v>
      </c>
      <c r="F914" s="1" t="s">
        <v>40</v>
      </c>
      <c r="G914" s="3">
        <v>41550</v>
      </c>
      <c r="H914" s="3">
        <v>43084</v>
      </c>
      <c r="I914" s="1" t="s">
        <v>41</v>
      </c>
      <c r="J914" s="1">
        <v>4</v>
      </c>
      <c r="L914" s="1" t="s">
        <v>3100</v>
      </c>
      <c r="M914" s="1" t="s">
        <v>242</v>
      </c>
      <c r="N914" s="1" t="s">
        <v>3101</v>
      </c>
      <c r="O914" s="1">
        <v>519.5</v>
      </c>
      <c r="P914" s="1" t="s">
        <v>3102</v>
      </c>
      <c r="Q914" s="1" t="s">
        <v>46</v>
      </c>
      <c r="R914" s="1" t="s">
        <v>47</v>
      </c>
      <c r="S914" s="1" t="s">
        <v>47</v>
      </c>
      <c r="T914" s="1" t="s">
        <v>48</v>
      </c>
      <c r="U914" s="1" t="s">
        <v>47</v>
      </c>
      <c r="V914" s="1" t="s">
        <v>47</v>
      </c>
      <c r="W914" s="1" t="s">
        <v>47</v>
      </c>
      <c r="Z914" s="1">
        <v>31.49</v>
      </c>
      <c r="AB914" s="1" t="s">
        <v>48</v>
      </c>
      <c r="AC914" s="1">
        <v>11483138</v>
      </c>
      <c r="AD914" s="1">
        <v>543380</v>
      </c>
      <c r="AF914" s="1" t="s">
        <v>47</v>
      </c>
      <c r="AG914" s="1" t="s">
        <v>47</v>
      </c>
      <c r="AH914" s="1" t="s">
        <v>49</v>
      </c>
      <c r="AI914" s="1" t="s">
        <v>47</v>
      </c>
      <c r="AK914" s="1" t="s">
        <v>48</v>
      </c>
      <c r="AL914" s="1" t="s">
        <v>3103</v>
      </c>
    </row>
    <row r="915" spans="1:38">
      <c r="A915" s="1">
        <v>5174826</v>
      </c>
      <c r="B915" s="1" t="s">
        <v>3104</v>
      </c>
      <c r="C915" s="1" t="str">
        <f>"9781292025476"</f>
        <v>9781292025476</v>
      </c>
      <c r="D915" s="1" t="str">
        <f>"9781292037967"</f>
        <v>9781292037967</v>
      </c>
      <c r="E915" s="1" t="s">
        <v>39</v>
      </c>
      <c r="F915" s="1" t="s">
        <v>40</v>
      </c>
      <c r="G915" s="3">
        <v>41515</v>
      </c>
      <c r="H915" s="3">
        <v>43083</v>
      </c>
      <c r="I915" s="1" t="s">
        <v>41</v>
      </c>
      <c r="J915" s="1">
        <v>9</v>
      </c>
      <c r="L915" s="1" t="s">
        <v>3105</v>
      </c>
      <c r="M915" s="1" t="s">
        <v>3106</v>
      </c>
      <c r="N915" s="1" t="s">
        <v>3107</v>
      </c>
      <c r="O915" s="1">
        <v>621.38199999999995</v>
      </c>
      <c r="P915" s="1" t="s">
        <v>3108</v>
      </c>
      <c r="Q915" s="1" t="s">
        <v>46</v>
      </c>
      <c r="R915" s="1" t="s">
        <v>48</v>
      </c>
      <c r="S915" s="1" t="s">
        <v>47</v>
      </c>
      <c r="T915" s="1" t="s">
        <v>48</v>
      </c>
      <c r="U915" s="1" t="s">
        <v>47</v>
      </c>
      <c r="V915" s="1" t="s">
        <v>47</v>
      </c>
      <c r="W915" s="1" t="s">
        <v>47</v>
      </c>
      <c r="Z915" s="1">
        <v>33.74</v>
      </c>
      <c r="AB915" s="1" t="s">
        <v>48</v>
      </c>
      <c r="AC915" s="1">
        <v>11481685</v>
      </c>
      <c r="AD915" s="1">
        <v>527276</v>
      </c>
      <c r="AF915" s="1" t="s">
        <v>47</v>
      </c>
      <c r="AG915" s="1" t="s">
        <v>47</v>
      </c>
      <c r="AH915" s="1" t="s">
        <v>49</v>
      </c>
      <c r="AI915" s="1" t="s">
        <v>47</v>
      </c>
      <c r="AK915" s="1" t="s">
        <v>48</v>
      </c>
      <c r="AL915" s="1" t="s">
        <v>3109</v>
      </c>
    </row>
    <row r="916" spans="1:38">
      <c r="A916" s="1">
        <v>5174836</v>
      </c>
      <c r="B916" s="1" t="s">
        <v>3110</v>
      </c>
      <c r="C916" s="1" t="str">
        <f>"9781292025636"</f>
        <v>9781292025636</v>
      </c>
      <c r="D916" s="1" t="str">
        <f>"9781292038063"</f>
        <v>9781292038063</v>
      </c>
      <c r="E916" s="1" t="s">
        <v>39</v>
      </c>
      <c r="F916" s="1" t="s">
        <v>40</v>
      </c>
      <c r="G916" s="3">
        <v>41515</v>
      </c>
      <c r="H916" s="3">
        <v>43084</v>
      </c>
      <c r="I916" s="1" t="s">
        <v>41</v>
      </c>
      <c r="J916" s="1">
        <v>11</v>
      </c>
      <c r="L916" s="1" t="s">
        <v>3111</v>
      </c>
      <c r="M916" s="1" t="s">
        <v>1527</v>
      </c>
      <c r="N916" s="1" t="s">
        <v>3112</v>
      </c>
      <c r="O916" s="1">
        <v>621.38149999999996</v>
      </c>
      <c r="P916" s="1" t="s">
        <v>3113</v>
      </c>
      <c r="Q916" s="1" t="s">
        <v>46</v>
      </c>
      <c r="R916" s="1" t="s">
        <v>48</v>
      </c>
      <c r="S916" s="1" t="s">
        <v>47</v>
      </c>
      <c r="T916" s="1" t="s">
        <v>48</v>
      </c>
      <c r="U916" s="1" t="s">
        <v>47</v>
      </c>
      <c r="V916" s="1" t="s">
        <v>47</v>
      </c>
      <c r="W916" s="1" t="s">
        <v>47</v>
      </c>
      <c r="Z916" s="1">
        <v>45.74</v>
      </c>
      <c r="AB916" s="1" t="s">
        <v>48</v>
      </c>
      <c r="AC916" s="1">
        <v>11483167</v>
      </c>
      <c r="AD916" s="1">
        <v>527131</v>
      </c>
      <c r="AF916" s="1" t="s">
        <v>47</v>
      </c>
      <c r="AG916" s="1" t="s">
        <v>47</v>
      </c>
      <c r="AH916" s="1" t="s">
        <v>49</v>
      </c>
      <c r="AI916" s="1" t="s">
        <v>47</v>
      </c>
      <c r="AK916" s="1" t="s">
        <v>48</v>
      </c>
      <c r="AL916" s="1" t="s">
        <v>3114</v>
      </c>
    </row>
    <row r="917" spans="1:38">
      <c r="A917" s="1">
        <v>5174845</v>
      </c>
      <c r="B917" s="1" t="s">
        <v>3115</v>
      </c>
      <c r="C917" s="1" t="str">
        <f>"9781292026152"</f>
        <v>9781292026152</v>
      </c>
      <c r="D917" s="1" t="str">
        <f>"9781292038551"</f>
        <v>9781292038551</v>
      </c>
      <c r="E917" s="1" t="s">
        <v>39</v>
      </c>
      <c r="F917" s="1" t="s">
        <v>40</v>
      </c>
      <c r="G917" s="3">
        <v>41515</v>
      </c>
      <c r="H917" s="3">
        <v>43084</v>
      </c>
      <c r="I917" s="1" t="s">
        <v>41</v>
      </c>
      <c r="J917" s="1">
        <v>1</v>
      </c>
      <c r="L917" s="1" t="s">
        <v>3116</v>
      </c>
      <c r="M917" s="1" t="s">
        <v>556</v>
      </c>
      <c r="N917" s="1" t="s">
        <v>3117</v>
      </c>
      <c r="O917" s="1">
        <v>6.3120000000000003</v>
      </c>
      <c r="P917" s="1" t="s">
        <v>3118</v>
      </c>
      <c r="Q917" s="1" t="s">
        <v>46</v>
      </c>
      <c r="R917" s="1" t="s">
        <v>48</v>
      </c>
      <c r="S917" s="1" t="s">
        <v>47</v>
      </c>
      <c r="T917" s="1" t="s">
        <v>48</v>
      </c>
      <c r="U917" s="1" t="s">
        <v>47</v>
      </c>
      <c r="V917" s="1" t="s">
        <v>47</v>
      </c>
      <c r="W917" s="1" t="s">
        <v>47</v>
      </c>
      <c r="Z917" s="1">
        <v>42.74</v>
      </c>
      <c r="AB917" s="1" t="s">
        <v>48</v>
      </c>
      <c r="AC917" s="1">
        <v>11483175</v>
      </c>
      <c r="AD917" s="1">
        <v>527421</v>
      </c>
      <c r="AF917" s="1" t="s">
        <v>47</v>
      </c>
      <c r="AG917" s="1" t="s">
        <v>47</v>
      </c>
      <c r="AH917" s="1" t="s">
        <v>49</v>
      </c>
      <c r="AI917" s="1" t="s">
        <v>47</v>
      </c>
      <c r="AK917" s="1" t="s">
        <v>48</v>
      </c>
      <c r="AL917" s="1" t="s">
        <v>3119</v>
      </c>
    </row>
    <row r="918" spans="1:38">
      <c r="A918" s="1">
        <v>5174873</v>
      </c>
      <c r="B918" s="1" t="s">
        <v>3120</v>
      </c>
      <c r="C918" s="1" t="str">
        <f>"9781292039466"</f>
        <v>9781292039466</v>
      </c>
      <c r="D918" s="1" t="str">
        <f>"9781292055336"</f>
        <v>9781292055336</v>
      </c>
      <c r="E918" s="1" t="s">
        <v>39</v>
      </c>
      <c r="F918" s="1" t="s">
        <v>40</v>
      </c>
      <c r="G918" s="3">
        <v>41550</v>
      </c>
      <c r="H918" s="3">
        <v>43084</v>
      </c>
      <c r="I918" s="1" t="s">
        <v>41</v>
      </c>
      <c r="J918" s="1">
        <v>2</v>
      </c>
      <c r="L918" s="1" t="s">
        <v>3121</v>
      </c>
      <c r="M918" s="1" t="s">
        <v>3122</v>
      </c>
      <c r="N918" s="1" t="s">
        <v>3123</v>
      </c>
      <c r="O918" s="1">
        <v>687.04</v>
      </c>
      <c r="P918" s="1" t="s">
        <v>3124</v>
      </c>
      <c r="Q918" s="1" t="s">
        <v>46</v>
      </c>
      <c r="R918" s="1" t="s">
        <v>48</v>
      </c>
      <c r="S918" s="1" t="s">
        <v>47</v>
      </c>
      <c r="T918" s="1" t="s">
        <v>48</v>
      </c>
      <c r="U918" s="1" t="s">
        <v>47</v>
      </c>
      <c r="V918" s="1" t="s">
        <v>47</v>
      </c>
      <c r="W918" s="1" t="s">
        <v>47</v>
      </c>
      <c r="Z918" s="1">
        <v>39.74</v>
      </c>
      <c r="AB918" s="1" t="s">
        <v>48</v>
      </c>
      <c r="AC918" s="1">
        <v>11483195</v>
      </c>
      <c r="AD918" s="1">
        <v>543366</v>
      </c>
      <c r="AF918" s="1" t="s">
        <v>47</v>
      </c>
      <c r="AG918" s="1" t="s">
        <v>47</v>
      </c>
      <c r="AH918" s="1" t="s">
        <v>49</v>
      </c>
      <c r="AI918" s="1" t="s">
        <v>47</v>
      </c>
      <c r="AK918" s="1" t="s">
        <v>48</v>
      </c>
      <c r="AL918" s="1" t="s">
        <v>3125</v>
      </c>
    </row>
    <row r="919" spans="1:38">
      <c r="A919" s="1">
        <v>5174901</v>
      </c>
      <c r="B919" s="1" t="s">
        <v>3126</v>
      </c>
      <c r="C919" s="1" t="str">
        <f>"9781292040387"</f>
        <v>9781292040387</v>
      </c>
      <c r="D919" s="1" t="str">
        <f>"9781292051697"</f>
        <v>9781292051697</v>
      </c>
      <c r="E919" s="1" t="s">
        <v>39</v>
      </c>
      <c r="F919" s="1" t="s">
        <v>40</v>
      </c>
      <c r="G919" s="3">
        <v>41550</v>
      </c>
      <c r="H919" s="3">
        <v>43083</v>
      </c>
      <c r="I919" s="1" t="s">
        <v>41</v>
      </c>
      <c r="J919" s="1">
        <v>6</v>
      </c>
      <c r="L919" s="1" t="s">
        <v>3127</v>
      </c>
      <c r="M919" s="1" t="s">
        <v>3128</v>
      </c>
      <c r="N919" s="1" t="s">
        <v>3129</v>
      </c>
      <c r="O919" s="1">
        <v>808.04200000000003</v>
      </c>
      <c r="P919" s="1" t="s">
        <v>3130</v>
      </c>
      <c r="Q919" s="1" t="s">
        <v>46</v>
      </c>
      <c r="R919" s="1" t="s">
        <v>48</v>
      </c>
      <c r="S919" s="1" t="s">
        <v>47</v>
      </c>
      <c r="T919" s="1" t="s">
        <v>48</v>
      </c>
      <c r="U919" s="1" t="s">
        <v>47</v>
      </c>
      <c r="V919" s="1" t="s">
        <v>47</v>
      </c>
      <c r="W919" s="1" t="s">
        <v>47</v>
      </c>
      <c r="Z919" s="1">
        <v>44.24</v>
      </c>
      <c r="AB919" s="1" t="s">
        <v>48</v>
      </c>
      <c r="AC919" s="1">
        <v>11481702</v>
      </c>
      <c r="AD919" s="1">
        <v>543368</v>
      </c>
      <c r="AF919" s="1" t="s">
        <v>47</v>
      </c>
      <c r="AG919" s="1" t="s">
        <v>47</v>
      </c>
      <c r="AH919" s="1" t="s">
        <v>49</v>
      </c>
      <c r="AI919" s="1" t="s">
        <v>47</v>
      </c>
      <c r="AK919" s="1" t="s">
        <v>48</v>
      </c>
      <c r="AL919" s="1" t="s">
        <v>3131</v>
      </c>
    </row>
    <row r="920" spans="1:38">
      <c r="A920" s="1">
        <v>5174909</v>
      </c>
      <c r="B920" s="1" t="s">
        <v>3132</v>
      </c>
      <c r="C920" s="1" t="str">
        <f>"9781292041766"</f>
        <v>9781292041766</v>
      </c>
      <c r="D920" s="1" t="str">
        <f>"9781292055770"</f>
        <v>9781292055770</v>
      </c>
      <c r="E920" s="1" t="s">
        <v>39</v>
      </c>
      <c r="F920" s="1" t="s">
        <v>40</v>
      </c>
      <c r="G920" s="3">
        <v>41550</v>
      </c>
      <c r="H920" s="3">
        <v>43084</v>
      </c>
      <c r="I920" s="1" t="s">
        <v>41</v>
      </c>
      <c r="J920" s="1">
        <v>5</v>
      </c>
      <c r="L920" s="1" t="s">
        <v>972</v>
      </c>
      <c r="M920" s="1" t="s">
        <v>3133</v>
      </c>
      <c r="N920" s="1" t="s">
        <v>3134</v>
      </c>
      <c r="O920" s="1">
        <v>5.3689999999999998</v>
      </c>
      <c r="P920" s="1" t="s">
        <v>3135</v>
      </c>
      <c r="Q920" s="1" t="s">
        <v>46</v>
      </c>
      <c r="R920" s="1" t="s">
        <v>48</v>
      </c>
      <c r="S920" s="1" t="s">
        <v>47</v>
      </c>
      <c r="T920" s="1" t="s">
        <v>48</v>
      </c>
      <c r="U920" s="1" t="s">
        <v>47</v>
      </c>
      <c r="V920" s="1" t="s">
        <v>47</v>
      </c>
      <c r="W920" s="1" t="s">
        <v>47</v>
      </c>
      <c r="Z920" s="1">
        <v>33.74</v>
      </c>
      <c r="AB920" s="1" t="s">
        <v>48</v>
      </c>
      <c r="AC920" s="1">
        <v>11483221</v>
      </c>
      <c r="AD920" s="1">
        <v>543398</v>
      </c>
      <c r="AF920" s="1" t="s">
        <v>47</v>
      </c>
      <c r="AG920" s="1" t="s">
        <v>47</v>
      </c>
      <c r="AH920" s="1" t="s">
        <v>49</v>
      </c>
      <c r="AI920" s="1" t="s">
        <v>47</v>
      </c>
      <c r="AK920" s="1" t="s">
        <v>48</v>
      </c>
      <c r="AL920" s="1" t="s">
        <v>3136</v>
      </c>
    </row>
    <row r="921" spans="1:38">
      <c r="A921" s="1">
        <v>5174963</v>
      </c>
      <c r="B921" s="1" t="s">
        <v>3137</v>
      </c>
      <c r="C921" s="1" t="str">
        <f>"9781292027074"</f>
        <v>9781292027074</v>
      </c>
      <c r="D921" s="1" t="str">
        <f>"9781292054704"</f>
        <v>9781292054704</v>
      </c>
      <c r="E921" s="1" t="s">
        <v>39</v>
      </c>
      <c r="F921" s="1" t="s">
        <v>40</v>
      </c>
      <c r="G921" s="3">
        <v>41550</v>
      </c>
      <c r="H921" s="3">
        <v>43083</v>
      </c>
      <c r="I921" s="1" t="s">
        <v>41</v>
      </c>
      <c r="J921" s="1">
        <v>4</v>
      </c>
      <c r="L921" s="1" t="s">
        <v>3138</v>
      </c>
      <c r="M921" s="1" t="s">
        <v>43</v>
      </c>
      <c r="N921" s="1" t="s">
        <v>3139</v>
      </c>
      <c r="O921" s="1">
        <v>624.1771</v>
      </c>
      <c r="P921" s="1" t="s">
        <v>3140</v>
      </c>
      <c r="Q921" s="1" t="s">
        <v>46</v>
      </c>
      <c r="R921" s="1" t="s">
        <v>48</v>
      </c>
      <c r="S921" s="1" t="s">
        <v>47</v>
      </c>
      <c r="T921" s="1" t="s">
        <v>48</v>
      </c>
      <c r="U921" s="1" t="s">
        <v>47</v>
      </c>
      <c r="V921" s="1" t="s">
        <v>47</v>
      </c>
      <c r="W921" s="1" t="s">
        <v>47</v>
      </c>
      <c r="Z921" s="1">
        <v>41.99</v>
      </c>
      <c r="AB921" s="1" t="s">
        <v>48</v>
      </c>
      <c r="AC921" s="1">
        <v>11481719</v>
      </c>
      <c r="AD921" s="1">
        <v>543547</v>
      </c>
      <c r="AF921" s="1" t="s">
        <v>47</v>
      </c>
      <c r="AG921" s="1" t="s">
        <v>47</v>
      </c>
      <c r="AH921" s="1" t="s">
        <v>49</v>
      </c>
      <c r="AI921" s="1" t="s">
        <v>47</v>
      </c>
      <c r="AK921" s="1" t="s">
        <v>48</v>
      </c>
      <c r="AL921" s="1" t="s">
        <v>3141</v>
      </c>
    </row>
    <row r="922" spans="1:38">
      <c r="A922" s="1">
        <v>5175651</v>
      </c>
      <c r="B922" s="1" t="s">
        <v>3142</v>
      </c>
      <c r="C922" s="1" t="str">
        <f>"9781292021140"</f>
        <v>9781292021140</v>
      </c>
      <c r="D922" s="1" t="str">
        <f>"9781292034386"</f>
        <v>9781292034386</v>
      </c>
      <c r="E922" s="1" t="s">
        <v>39</v>
      </c>
      <c r="F922" s="1" t="s">
        <v>40</v>
      </c>
      <c r="G922" s="3">
        <v>41513</v>
      </c>
      <c r="H922" s="3">
        <v>43076</v>
      </c>
      <c r="I922" s="1" t="s">
        <v>41</v>
      </c>
      <c r="J922" s="1">
        <v>13</v>
      </c>
      <c r="L922" s="1" t="s">
        <v>3143</v>
      </c>
      <c r="M922" s="1" t="s">
        <v>242</v>
      </c>
      <c r="N922" s="1" t="s">
        <v>3144</v>
      </c>
      <c r="O922" s="1">
        <v>515</v>
      </c>
      <c r="P922" s="1" t="s">
        <v>3145</v>
      </c>
      <c r="Q922" s="1" t="s">
        <v>46</v>
      </c>
      <c r="R922" s="1" t="s">
        <v>47</v>
      </c>
      <c r="S922" s="1" t="s">
        <v>47</v>
      </c>
      <c r="T922" s="1" t="s">
        <v>48</v>
      </c>
      <c r="U922" s="1" t="s">
        <v>47</v>
      </c>
      <c r="V922" s="1" t="s">
        <v>47</v>
      </c>
      <c r="W922" s="1" t="s">
        <v>47</v>
      </c>
      <c r="Y922" s="1">
        <v>849.99</v>
      </c>
      <c r="Z922" s="1">
        <v>283.33</v>
      </c>
      <c r="AB922" s="1" t="s">
        <v>48</v>
      </c>
      <c r="AD922" s="1">
        <v>527382</v>
      </c>
      <c r="AF922" s="1" t="s">
        <v>47</v>
      </c>
      <c r="AG922" s="1" t="s">
        <v>47</v>
      </c>
      <c r="AH922" s="1" t="s">
        <v>49</v>
      </c>
      <c r="AI922" s="1" t="s">
        <v>47</v>
      </c>
      <c r="AK922" s="1" t="s">
        <v>48</v>
      </c>
      <c r="AL922" s="1" t="s">
        <v>3146</v>
      </c>
    </row>
    <row r="923" spans="1:38">
      <c r="A923" s="1">
        <v>5175714</v>
      </c>
      <c r="B923" s="1" t="s">
        <v>3147</v>
      </c>
      <c r="C923" s="1" t="str">
        <f>"9781292022314"</f>
        <v>9781292022314</v>
      </c>
      <c r="D923" s="1" t="str">
        <f>"9781292035512"</f>
        <v>9781292035512</v>
      </c>
      <c r="E923" s="1" t="s">
        <v>39</v>
      </c>
      <c r="F923" s="1" t="s">
        <v>40</v>
      </c>
      <c r="G923" s="3">
        <v>41513</v>
      </c>
      <c r="H923" s="3">
        <v>43076</v>
      </c>
      <c r="I923" s="1" t="s">
        <v>41</v>
      </c>
      <c r="J923" s="1">
        <v>2</v>
      </c>
      <c r="L923" s="1" t="s">
        <v>3148</v>
      </c>
      <c r="M923" s="1" t="s">
        <v>3149</v>
      </c>
      <c r="N923" s="1" t="s">
        <v>3150</v>
      </c>
      <c r="O923" s="1">
        <v>620.82000000000005</v>
      </c>
      <c r="P923" s="1" t="s">
        <v>3151</v>
      </c>
      <c r="Q923" s="1" t="s">
        <v>46</v>
      </c>
      <c r="R923" s="1" t="s">
        <v>47</v>
      </c>
      <c r="S923" s="1" t="s">
        <v>47</v>
      </c>
      <c r="T923" s="1" t="s">
        <v>48</v>
      </c>
      <c r="U923" s="1" t="s">
        <v>47</v>
      </c>
      <c r="V923" s="1" t="s">
        <v>47</v>
      </c>
      <c r="W923" s="1" t="s">
        <v>47</v>
      </c>
      <c r="Y923" s="1">
        <v>849.99</v>
      </c>
      <c r="Z923" s="1">
        <v>283.33</v>
      </c>
      <c r="AB923" s="1" t="s">
        <v>48</v>
      </c>
      <c r="AD923" s="1">
        <v>527288</v>
      </c>
      <c r="AF923" s="1" t="s">
        <v>47</v>
      </c>
      <c r="AG923" s="1" t="s">
        <v>47</v>
      </c>
      <c r="AH923" s="1" t="s">
        <v>49</v>
      </c>
      <c r="AI923" s="1" t="s">
        <v>47</v>
      </c>
      <c r="AK923" s="1" t="s">
        <v>48</v>
      </c>
      <c r="AL923" s="1" t="s">
        <v>3152</v>
      </c>
    </row>
    <row r="924" spans="1:38">
      <c r="A924" s="1">
        <v>5175740</v>
      </c>
      <c r="B924" s="1" t="s">
        <v>3153</v>
      </c>
      <c r="C924" s="1" t="str">
        <f>"9781292020235"</f>
        <v>9781292020235</v>
      </c>
      <c r="D924" s="1" t="str">
        <f>"9781292033617"</f>
        <v>9781292033617</v>
      </c>
      <c r="E924" s="1" t="s">
        <v>39</v>
      </c>
      <c r="F924" s="1" t="s">
        <v>40</v>
      </c>
      <c r="G924" s="3">
        <v>41513</v>
      </c>
      <c r="H924" s="3">
        <v>43076</v>
      </c>
      <c r="I924" s="1" t="s">
        <v>41</v>
      </c>
      <c r="J924" s="1">
        <v>7</v>
      </c>
      <c r="L924" s="1" t="s">
        <v>2215</v>
      </c>
      <c r="M924" s="1" t="s">
        <v>372</v>
      </c>
      <c r="N924" s="1" t="s">
        <v>3154</v>
      </c>
      <c r="O924" s="1">
        <v>301.072</v>
      </c>
      <c r="P924" s="1" t="s">
        <v>3155</v>
      </c>
      <c r="Q924" s="1" t="s">
        <v>46</v>
      </c>
      <c r="R924" s="1" t="s">
        <v>47</v>
      </c>
      <c r="S924" s="1" t="s">
        <v>47</v>
      </c>
      <c r="T924" s="1" t="s">
        <v>48</v>
      </c>
      <c r="U924" s="1" t="s">
        <v>47</v>
      </c>
      <c r="V924" s="1" t="s">
        <v>47</v>
      </c>
      <c r="W924" s="1" t="s">
        <v>47</v>
      </c>
      <c r="Y924" s="1">
        <v>849.99</v>
      </c>
      <c r="Z924" s="1">
        <v>283.33</v>
      </c>
      <c r="AB924" s="1" t="s">
        <v>48</v>
      </c>
      <c r="AD924" s="1">
        <v>526927</v>
      </c>
      <c r="AF924" s="1" t="s">
        <v>47</v>
      </c>
      <c r="AG924" s="1" t="s">
        <v>47</v>
      </c>
      <c r="AH924" s="1" t="s">
        <v>49</v>
      </c>
      <c r="AI924" s="1" t="s">
        <v>47</v>
      </c>
      <c r="AK924" s="1" t="s">
        <v>48</v>
      </c>
      <c r="AL924" s="1" t="s">
        <v>3156</v>
      </c>
    </row>
    <row r="925" spans="1:38">
      <c r="A925" s="1">
        <v>5175865</v>
      </c>
      <c r="B925" s="1" t="s">
        <v>3157</v>
      </c>
      <c r="C925" s="1" t="str">
        <f>"9780273768616"</f>
        <v>9780273768616</v>
      </c>
      <c r="D925" s="1" t="str">
        <f>"9780273775584"</f>
        <v>9780273775584</v>
      </c>
      <c r="E925" s="1" t="s">
        <v>39</v>
      </c>
      <c r="F925" s="1" t="s">
        <v>40</v>
      </c>
      <c r="G925" s="3">
        <v>41180</v>
      </c>
      <c r="H925" s="3">
        <v>43076</v>
      </c>
      <c r="I925" s="1" t="s">
        <v>41</v>
      </c>
      <c r="J925" s="1">
        <v>6</v>
      </c>
      <c r="L925" s="1" t="s">
        <v>3158</v>
      </c>
      <c r="M925" s="1" t="s">
        <v>162</v>
      </c>
      <c r="N925" s="1" t="s">
        <v>3159</v>
      </c>
      <c r="O925" s="1">
        <v>346.07</v>
      </c>
      <c r="P925" s="1" t="s">
        <v>3160</v>
      </c>
      <c r="Q925" s="1" t="s">
        <v>46</v>
      </c>
      <c r="R925" s="1" t="s">
        <v>47</v>
      </c>
      <c r="S925" s="1" t="s">
        <v>47</v>
      </c>
      <c r="T925" s="1" t="s">
        <v>48</v>
      </c>
      <c r="U925" s="1" t="s">
        <v>47</v>
      </c>
      <c r="V925" s="1" t="s">
        <v>47</v>
      </c>
      <c r="W925" s="1" t="s">
        <v>47</v>
      </c>
      <c r="Y925" s="1">
        <v>849.99</v>
      </c>
      <c r="Z925" s="1">
        <v>283.33</v>
      </c>
      <c r="AB925" s="1" t="s">
        <v>48</v>
      </c>
      <c r="AD925" s="1">
        <v>523704</v>
      </c>
      <c r="AF925" s="1" t="s">
        <v>47</v>
      </c>
      <c r="AG925" s="1" t="s">
        <v>47</v>
      </c>
      <c r="AH925" s="1" t="s">
        <v>49</v>
      </c>
      <c r="AI925" s="1" t="s">
        <v>47</v>
      </c>
      <c r="AK925" s="1" t="s">
        <v>48</v>
      </c>
      <c r="AL925" s="1" t="s">
        <v>3161</v>
      </c>
    </row>
    <row r="926" spans="1:38">
      <c r="A926" s="1">
        <v>5176023</v>
      </c>
      <c r="B926" s="1" t="s">
        <v>3162</v>
      </c>
      <c r="C926" s="1" t="str">
        <f>"9781292023304"</f>
        <v>9781292023304</v>
      </c>
      <c r="D926" s="1" t="str">
        <f>"9781292036472"</f>
        <v>9781292036472</v>
      </c>
      <c r="E926" s="1" t="s">
        <v>39</v>
      </c>
      <c r="F926" s="1" t="s">
        <v>40</v>
      </c>
      <c r="G926" s="3">
        <v>41514</v>
      </c>
      <c r="H926" s="3">
        <v>43076</v>
      </c>
      <c r="I926" s="1" t="s">
        <v>41</v>
      </c>
      <c r="J926" s="1">
        <v>7</v>
      </c>
      <c r="L926" s="1" t="s">
        <v>3163</v>
      </c>
      <c r="M926" s="1" t="s">
        <v>3164</v>
      </c>
      <c r="N926" s="1" t="s">
        <v>3165</v>
      </c>
      <c r="O926" s="1">
        <v>520</v>
      </c>
      <c r="P926" s="1" t="s">
        <v>3166</v>
      </c>
      <c r="Q926" s="1" t="s">
        <v>46</v>
      </c>
      <c r="R926" s="1" t="s">
        <v>47</v>
      </c>
      <c r="S926" s="1" t="s">
        <v>47</v>
      </c>
      <c r="T926" s="1" t="s">
        <v>48</v>
      </c>
      <c r="U926" s="1" t="s">
        <v>47</v>
      </c>
      <c r="V926" s="1" t="s">
        <v>47</v>
      </c>
      <c r="W926" s="1" t="s">
        <v>47</v>
      </c>
      <c r="Y926" s="1">
        <v>849.99</v>
      </c>
      <c r="Z926" s="1">
        <v>283.33</v>
      </c>
      <c r="AB926" s="1" t="s">
        <v>48</v>
      </c>
      <c r="AD926" s="1">
        <v>527277</v>
      </c>
      <c r="AF926" s="1" t="s">
        <v>47</v>
      </c>
      <c r="AG926" s="1" t="s">
        <v>47</v>
      </c>
      <c r="AH926" s="1" t="s">
        <v>49</v>
      </c>
      <c r="AI926" s="1" t="s">
        <v>47</v>
      </c>
      <c r="AK926" s="1" t="s">
        <v>48</v>
      </c>
      <c r="AL926" s="1" t="s">
        <v>3167</v>
      </c>
    </row>
    <row r="927" spans="1:38">
      <c r="A927" s="1">
        <v>5176817</v>
      </c>
      <c r="B927" s="1" t="s">
        <v>3168</v>
      </c>
      <c r="C927" s="1" t="str">
        <f>"9781408283233"</f>
        <v>9781408283233</v>
      </c>
      <c r="D927" s="1" t="str">
        <f>"9781408283257"</f>
        <v>9781408283257</v>
      </c>
      <c r="E927" s="1" t="s">
        <v>39</v>
      </c>
      <c r="F927" s="1" t="s">
        <v>40</v>
      </c>
      <c r="G927" s="3">
        <v>41128</v>
      </c>
      <c r="H927" s="3">
        <v>43075</v>
      </c>
      <c r="I927" s="1" t="s">
        <v>41</v>
      </c>
      <c r="J927" s="1">
        <v>9</v>
      </c>
      <c r="L927" s="1" t="s">
        <v>3169</v>
      </c>
      <c r="M927" s="1" t="s">
        <v>162</v>
      </c>
      <c r="N927" s="1" t="s">
        <v>3170</v>
      </c>
      <c r="O927" s="1">
        <v>346.41048000000001</v>
      </c>
      <c r="P927" s="1" t="s">
        <v>3171</v>
      </c>
      <c r="Q927" s="1" t="s">
        <v>46</v>
      </c>
      <c r="R927" s="1" t="s">
        <v>47</v>
      </c>
      <c r="S927" s="1" t="s">
        <v>47</v>
      </c>
      <c r="T927" s="1" t="s">
        <v>48</v>
      </c>
      <c r="U927" s="1" t="s">
        <v>47</v>
      </c>
      <c r="V927" s="1" t="s">
        <v>47</v>
      </c>
      <c r="W927" s="1" t="s">
        <v>47</v>
      </c>
      <c r="Z927" s="1">
        <v>31.49</v>
      </c>
      <c r="AB927" s="1" t="s">
        <v>48</v>
      </c>
      <c r="AC927" s="1">
        <v>11479570</v>
      </c>
      <c r="AD927" s="1">
        <v>385406</v>
      </c>
      <c r="AF927" s="1" t="s">
        <v>47</v>
      </c>
      <c r="AG927" s="1" t="s">
        <v>47</v>
      </c>
      <c r="AH927" s="1" t="s">
        <v>49</v>
      </c>
      <c r="AI927" s="1" t="s">
        <v>47</v>
      </c>
      <c r="AK927" s="1" t="s">
        <v>48</v>
      </c>
      <c r="AL927" s="1" t="s">
        <v>3172</v>
      </c>
    </row>
    <row r="928" spans="1:38">
      <c r="A928" s="1">
        <v>5185652</v>
      </c>
      <c r="B928" s="1" t="s">
        <v>3173</v>
      </c>
      <c r="C928" s="1" t="str">
        <f>""</f>
        <v/>
      </c>
      <c r="D928" s="1" t="str">
        <f>"9780273727354"</f>
        <v>9780273727354</v>
      </c>
      <c r="E928" s="1" t="s">
        <v>365</v>
      </c>
      <c r="F928" s="1" t="s">
        <v>3174</v>
      </c>
      <c r="G928" s="3">
        <v>41486</v>
      </c>
      <c r="H928" s="3">
        <v>43084</v>
      </c>
      <c r="I928" s="1" t="s">
        <v>41</v>
      </c>
      <c r="J928" s="1">
        <v>1</v>
      </c>
      <c r="K928" s="1" t="s">
        <v>3175</v>
      </c>
      <c r="L928" s="1" t="s">
        <v>3176</v>
      </c>
      <c r="M928" s="1" t="s">
        <v>59</v>
      </c>
      <c r="N928" s="1" t="s">
        <v>3177</v>
      </c>
      <c r="O928" s="1">
        <v>659.13199999999995</v>
      </c>
      <c r="P928" s="1" t="s">
        <v>3178</v>
      </c>
      <c r="Q928" s="1" t="s">
        <v>46</v>
      </c>
      <c r="R928" s="1" t="s">
        <v>48</v>
      </c>
      <c r="S928" s="1" t="s">
        <v>47</v>
      </c>
      <c r="T928" s="1" t="s">
        <v>48</v>
      </c>
      <c r="U928" s="1" t="s">
        <v>47</v>
      </c>
      <c r="V928" s="1" t="s">
        <v>47</v>
      </c>
      <c r="W928" s="1" t="s">
        <v>47</v>
      </c>
      <c r="Z928" s="1">
        <v>8.24</v>
      </c>
      <c r="AB928" s="1" t="s">
        <v>48</v>
      </c>
      <c r="AC928" s="1">
        <v>11483404</v>
      </c>
      <c r="AD928" s="1">
        <v>235039</v>
      </c>
      <c r="AF928" s="1" t="s">
        <v>47</v>
      </c>
      <c r="AG928" s="1" t="s">
        <v>47</v>
      </c>
      <c r="AH928" s="1" t="s">
        <v>49</v>
      </c>
      <c r="AI928" s="1" t="s">
        <v>47</v>
      </c>
      <c r="AK928" s="1" t="s">
        <v>48</v>
      </c>
      <c r="AL928" s="1" t="s">
        <v>3179</v>
      </c>
    </row>
    <row r="929" spans="1:38">
      <c r="A929" s="1">
        <v>5185658</v>
      </c>
      <c r="B929" s="1" t="s">
        <v>3180</v>
      </c>
      <c r="C929" s="1" t="str">
        <f>"9780273756651"</f>
        <v>9780273756651</v>
      </c>
      <c r="D929" s="1" t="str">
        <f>"9780273757214"</f>
        <v>9780273757214</v>
      </c>
      <c r="E929" s="1" t="s">
        <v>39</v>
      </c>
      <c r="F929" s="1" t="s">
        <v>157</v>
      </c>
      <c r="G929" s="3">
        <v>41215</v>
      </c>
      <c r="H929" s="3">
        <v>43083</v>
      </c>
      <c r="I929" s="1" t="s">
        <v>41</v>
      </c>
      <c r="J929" s="1">
        <v>1</v>
      </c>
      <c r="L929" s="1" t="s">
        <v>3181</v>
      </c>
      <c r="M929" s="1" t="s">
        <v>54</v>
      </c>
      <c r="N929" s="1" t="s">
        <v>3182</v>
      </c>
      <c r="O929" s="1">
        <v>378.01299999999998</v>
      </c>
      <c r="P929" s="1" t="s">
        <v>3183</v>
      </c>
      <c r="Q929" s="1" t="s">
        <v>46</v>
      </c>
      <c r="R929" s="1" t="s">
        <v>48</v>
      </c>
      <c r="S929" s="1" t="s">
        <v>47</v>
      </c>
      <c r="T929" s="1" t="s">
        <v>48</v>
      </c>
      <c r="U929" s="1" t="s">
        <v>47</v>
      </c>
      <c r="V929" s="1" t="s">
        <v>47</v>
      </c>
      <c r="W929" s="1" t="s">
        <v>47</v>
      </c>
      <c r="Z929" s="1">
        <v>9.74</v>
      </c>
      <c r="AB929" s="1" t="s">
        <v>48</v>
      </c>
      <c r="AC929" s="1">
        <v>11481997</v>
      </c>
      <c r="AD929" s="1">
        <v>404618</v>
      </c>
      <c r="AF929" s="1" t="s">
        <v>47</v>
      </c>
      <c r="AG929" s="1" t="s">
        <v>47</v>
      </c>
      <c r="AH929" s="1" t="s">
        <v>49</v>
      </c>
      <c r="AI929" s="1" t="s">
        <v>47</v>
      </c>
      <c r="AK929" s="1" t="s">
        <v>48</v>
      </c>
      <c r="AL929" s="1" t="s">
        <v>3184</v>
      </c>
    </row>
    <row r="930" spans="1:38">
      <c r="A930" s="1">
        <v>5185704</v>
      </c>
      <c r="B930" s="1" t="s">
        <v>3185</v>
      </c>
      <c r="C930" s="1" t="str">
        <f>"9780273743859"</f>
        <v>9780273743859</v>
      </c>
      <c r="D930" s="1" t="str">
        <f>"9780273743866"</f>
        <v>9780273743866</v>
      </c>
      <c r="E930" s="1" t="s">
        <v>39</v>
      </c>
      <c r="F930" s="1" t="s">
        <v>157</v>
      </c>
      <c r="G930" s="3">
        <v>40703</v>
      </c>
      <c r="H930" s="3">
        <v>43083</v>
      </c>
      <c r="I930" s="1" t="s">
        <v>41</v>
      </c>
      <c r="J930" s="1">
        <v>3</v>
      </c>
      <c r="L930" s="1" t="s">
        <v>3186</v>
      </c>
      <c r="M930" s="1" t="s">
        <v>3187</v>
      </c>
      <c r="N930" s="1" t="s">
        <v>3188</v>
      </c>
      <c r="O930" s="1">
        <v>808.04200000000003</v>
      </c>
      <c r="P930" s="1" t="s">
        <v>3189</v>
      </c>
      <c r="Q930" s="1" t="s">
        <v>46</v>
      </c>
      <c r="R930" s="1" t="s">
        <v>48</v>
      </c>
      <c r="S930" s="1" t="s">
        <v>47</v>
      </c>
      <c r="T930" s="1" t="s">
        <v>48</v>
      </c>
      <c r="U930" s="1" t="s">
        <v>47</v>
      </c>
      <c r="V930" s="1" t="s">
        <v>47</v>
      </c>
      <c r="W930" s="1" t="s">
        <v>47</v>
      </c>
      <c r="Z930" s="1">
        <v>8.99</v>
      </c>
      <c r="AB930" s="1" t="s">
        <v>48</v>
      </c>
      <c r="AC930" s="1">
        <v>11482017</v>
      </c>
      <c r="AD930" s="1">
        <v>404631</v>
      </c>
      <c r="AF930" s="1" t="s">
        <v>47</v>
      </c>
      <c r="AG930" s="1" t="s">
        <v>47</v>
      </c>
      <c r="AH930" s="1" t="s">
        <v>49</v>
      </c>
      <c r="AI930" s="1" t="s">
        <v>47</v>
      </c>
      <c r="AK930" s="1" t="s">
        <v>48</v>
      </c>
      <c r="AL930" s="1" t="s">
        <v>3190</v>
      </c>
    </row>
    <row r="931" spans="1:38">
      <c r="A931" s="1">
        <v>5185773</v>
      </c>
      <c r="B931" s="1" t="s">
        <v>3191</v>
      </c>
      <c r="C931" s="1" t="str">
        <f>"9781292040318"</f>
        <v>9781292040318</v>
      </c>
      <c r="D931" s="1" t="str">
        <f>"9781292051888"</f>
        <v>9781292051888</v>
      </c>
      <c r="E931" s="1" t="s">
        <v>39</v>
      </c>
      <c r="F931" s="1" t="s">
        <v>40</v>
      </c>
      <c r="G931" s="3">
        <v>41550</v>
      </c>
      <c r="H931" s="3">
        <v>43084</v>
      </c>
      <c r="I931" s="1" t="s">
        <v>41</v>
      </c>
      <c r="J931" s="1">
        <v>7</v>
      </c>
      <c r="L931" s="1" t="s">
        <v>3192</v>
      </c>
      <c r="M931" s="1" t="s">
        <v>3193</v>
      </c>
      <c r="N931" s="1" t="s">
        <v>3194</v>
      </c>
      <c r="O931" s="1">
        <v>302.2</v>
      </c>
      <c r="P931" s="1" t="s">
        <v>3195</v>
      </c>
      <c r="Q931" s="1" t="s">
        <v>46</v>
      </c>
      <c r="R931" s="1" t="s">
        <v>48</v>
      </c>
      <c r="S931" s="1" t="s">
        <v>47</v>
      </c>
      <c r="T931" s="1" t="s">
        <v>48</v>
      </c>
      <c r="U931" s="1" t="s">
        <v>47</v>
      </c>
      <c r="V931" s="1" t="s">
        <v>47</v>
      </c>
      <c r="W931" s="1" t="s">
        <v>47</v>
      </c>
      <c r="Z931" s="1">
        <v>38.99</v>
      </c>
      <c r="AB931" s="1" t="s">
        <v>48</v>
      </c>
      <c r="AC931" s="1">
        <v>11483453</v>
      </c>
      <c r="AF931" s="1" t="s">
        <v>47</v>
      </c>
      <c r="AG931" s="1" t="s">
        <v>47</v>
      </c>
      <c r="AH931" s="1" t="s">
        <v>49</v>
      </c>
      <c r="AI931" s="1" t="s">
        <v>47</v>
      </c>
      <c r="AK931" s="1" t="s">
        <v>48</v>
      </c>
      <c r="AL931" s="1" t="s">
        <v>3196</v>
      </c>
    </row>
    <row r="932" spans="1:38">
      <c r="A932" s="1">
        <v>5185802</v>
      </c>
      <c r="B932" s="1" t="s">
        <v>3197</v>
      </c>
      <c r="C932" s="1" t="str">
        <f>"9781292041520"</f>
        <v>9781292041520</v>
      </c>
      <c r="D932" s="1" t="str">
        <f>"9781292055756"</f>
        <v>9781292055756</v>
      </c>
      <c r="E932" s="1" t="s">
        <v>39</v>
      </c>
      <c r="F932" s="1" t="s">
        <v>40</v>
      </c>
      <c r="G932" s="3">
        <v>41550</v>
      </c>
      <c r="H932" s="3">
        <v>43084</v>
      </c>
      <c r="I932" s="1" t="s">
        <v>41</v>
      </c>
      <c r="J932" s="1">
        <v>6</v>
      </c>
      <c r="L932" s="1" t="s">
        <v>3198</v>
      </c>
      <c r="M932" s="1" t="s">
        <v>54</v>
      </c>
      <c r="N932" s="1" t="s">
        <v>3199</v>
      </c>
      <c r="O932" s="1">
        <v>372.21</v>
      </c>
      <c r="P932" s="1" t="s">
        <v>3200</v>
      </c>
      <c r="Q932" s="1" t="s">
        <v>46</v>
      </c>
      <c r="R932" s="1" t="s">
        <v>48</v>
      </c>
      <c r="S932" s="1" t="s">
        <v>47</v>
      </c>
      <c r="T932" s="1" t="s">
        <v>48</v>
      </c>
      <c r="U932" s="1" t="s">
        <v>47</v>
      </c>
      <c r="V932" s="1" t="s">
        <v>47</v>
      </c>
      <c r="W932" s="1" t="s">
        <v>47</v>
      </c>
      <c r="Z932" s="1">
        <v>36.74</v>
      </c>
      <c r="AB932" s="1" t="s">
        <v>48</v>
      </c>
      <c r="AC932" s="1">
        <v>11483474</v>
      </c>
      <c r="AD932" s="1">
        <v>543428</v>
      </c>
      <c r="AF932" s="1" t="s">
        <v>47</v>
      </c>
      <c r="AG932" s="1" t="s">
        <v>47</v>
      </c>
      <c r="AH932" s="1" t="s">
        <v>49</v>
      </c>
      <c r="AI932" s="1" t="s">
        <v>47</v>
      </c>
      <c r="AK932" s="1" t="s">
        <v>48</v>
      </c>
      <c r="AL932" s="1" t="s">
        <v>3201</v>
      </c>
    </row>
    <row r="933" spans="1:38">
      <c r="A933" s="1">
        <v>5185816</v>
      </c>
      <c r="B933" s="1" t="s">
        <v>3202</v>
      </c>
      <c r="C933" s="1" t="str">
        <f>"9781292041230"</f>
        <v>9781292041230</v>
      </c>
      <c r="D933" s="1" t="str">
        <f>"9781292054001"</f>
        <v>9781292054001</v>
      </c>
      <c r="E933" s="1" t="s">
        <v>39</v>
      </c>
      <c r="F933" s="1" t="s">
        <v>40</v>
      </c>
      <c r="G933" s="3">
        <v>41550</v>
      </c>
      <c r="H933" s="3">
        <v>43084</v>
      </c>
      <c r="I933" s="1" t="s">
        <v>41</v>
      </c>
      <c r="J933" s="1">
        <v>1</v>
      </c>
      <c r="L933" s="1" t="s">
        <v>3203</v>
      </c>
      <c r="M933" s="1" t="s">
        <v>3204</v>
      </c>
      <c r="N933" s="1" t="s">
        <v>3205</v>
      </c>
      <c r="O933" s="1">
        <v>519.5</v>
      </c>
      <c r="P933" s="1" t="s">
        <v>3206</v>
      </c>
      <c r="Q933" s="1" t="s">
        <v>46</v>
      </c>
      <c r="R933" s="1" t="s">
        <v>48</v>
      </c>
      <c r="S933" s="1" t="s">
        <v>47</v>
      </c>
      <c r="T933" s="1" t="s">
        <v>48</v>
      </c>
      <c r="U933" s="1" t="s">
        <v>47</v>
      </c>
      <c r="V933" s="1" t="s">
        <v>47</v>
      </c>
      <c r="W933" s="1" t="s">
        <v>47</v>
      </c>
      <c r="Z933" s="1">
        <v>37.49</v>
      </c>
      <c r="AB933" s="1" t="s">
        <v>48</v>
      </c>
      <c r="AC933" s="1">
        <v>11483486</v>
      </c>
      <c r="AD933" s="1">
        <v>543410</v>
      </c>
      <c r="AF933" s="1" t="s">
        <v>47</v>
      </c>
      <c r="AG933" s="1" t="s">
        <v>47</v>
      </c>
      <c r="AH933" s="1" t="s">
        <v>49</v>
      </c>
      <c r="AI933" s="1" t="s">
        <v>47</v>
      </c>
      <c r="AK933" s="1" t="s">
        <v>48</v>
      </c>
      <c r="AL933" s="1" t="s">
        <v>3207</v>
      </c>
    </row>
    <row r="934" spans="1:38">
      <c r="A934" s="1">
        <v>5185870</v>
      </c>
      <c r="B934" s="1" t="s">
        <v>3208</v>
      </c>
      <c r="C934" s="1" t="str">
        <f>"9781292041742"</f>
        <v>9781292041742</v>
      </c>
      <c r="D934" s="1" t="str">
        <f>"9781292053400"</f>
        <v>9781292053400</v>
      </c>
      <c r="E934" s="1" t="s">
        <v>39</v>
      </c>
      <c r="F934" s="1" t="s">
        <v>40</v>
      </c>
      <c r="G934" s="3">
        <v>41550</v>
      </c>
      <c r="H934" s="3">
        <v>43084</v>
      </c>
      <c r="I934" s="1" t="s">
        <v>41</v>
      </c>
      <c r="J934" s="1">
        <v>9</v>
      </c>
      <c r="L934" s="1" t="s">
        <v>3209</v>
      </c>
      <c r="M934" s="1" t="s">
        <v>372</v>
      </c>
      <c r="N934" s="1" t="s">
        <v>3210</v>
      </c>
      <c r="O934" s="1">
        <v>364.072</v>
      </c>
      <c r="P934" s="1" t="s">
        <v>3211</v>
      </c>
      <c r="Q934" s="1" t="s">
        <v>46</v>
      </c>
      <c r="R934" s="1" t="s">
        <v>48</v>
      </c>
      <c r="S934" s="1" t="s">
        <v>47</v>
      </c>
      <c r="T934" s="1" t="s">
        <v>48</v>
      </c>
      <c r="U934" s="1" t="s">
        <v>47</v>
      </c>
      <c r="V934" s="1" t="s">
        <v>47</v>
      </c>
      <c r="W934" s="1" t="s">
        <v>47</v>
      </c>
      <c r="Z934" s="1">
        <v>29.99</v>
      </c>
      <c r="AB934" s="1" t="s">
        <v>48</v>
      </c>
      <c r="AC934" s="1">
        <v>11483526</v>
      </c>
      <c r="AD934" s="1">
        <v>543397</v>
      </c>
      <c r="AF934" s="1" t="s">
        <v>47</v>
      </c>
      <c r="AG934" s="1" t="s">
        <v>47</v>
      </c>
      <c r="AH934" s="1" t="s">
        <v>49</v>
      </c>
      <c r="AI934" s="1" t="s">
        <v>47</v>
      </c>
      <c r="AK934" s="1" t="s">
        <v>48</v>
      </c>
      <c r="AL934" s="1" t="s">
        <v>3212</v>
      </c>
    </row>
    <row r="935" spans="1:38">
      <c r="A935" s="1">
        <v>5185874</v>
      </c>
      <c r="B935" s="1" t="s">
        <v>3213</v>
      </c>
      <c r="C935" s="1" t="str">
        <f>"9781292041865"</f>
        <v>9781292041865</v>
      </c>
      <c r="D935" s="1" t="str">
        <f>"9781292054445"</f>
        <v>9781292054445</v>
      </c>
      <c r="E935" s="1" t="s">
        <v>39</v>
      </c>
      <c r="F935" s="1" t="s">
        <v>40</v>
      </c>
      <c r="G935" s="3">
        <v>41550</v>
      </c>
      <c r="H935" s="3">
        <v>43084</v>
      </c>
      <c r="I935" s="1" t="s">
        <v>41</v>
      </c>
      <c r="J935" s="1">
        <v>7</v>
      </c>
      <c r="L935" s="1" t="s">
        <v>3214</v>
      </c>
      <c r="M935" s="1" t="s">
        <v>372</v>
      </c>
      <c r="N935" s="1" t="s">
        <v>3215</v>
      </c>
      <c r="O935" s="1" t="s">
        <v>3216</v>
      </c>
      <c r="P935" s="1" t="s">
        <v>3217</v>
      </c>
      <c r="Q935" s="1" t="s">
        <v>46</v>
      </c>
      <c r="R935" s="1" t="s">
        <v>48</v>
      </c>
      <c r="S935" s="1" t="s">
        <v>47</v>
      </c>
      <c r="T935" s="1" t="s">
        <v>48</v>
      </c>
      <c r="U935" s="1" t="s">
        <v>47</v>
      </c>
      <c r="V935" s="1" t="s">
        <v>47</v>
      </c>
      <c r="W935" s="1" t="s">
        <v>47</v>
      </c>
      <c r="Z935" s="1">
        <v>35.24</v>
      </c>
      <c r="AB935" s="1" t="s">
        <v>48</v>
      </c>
      <c r="AC935" s="1">
        <v>11483529</v>
      </c>
      <c r="AF935" s="1" t="s">
        <v>47</v>
      </c>
      <c r="AG935" s="1" t="s">
        <v>47</v>
      </c>
      <c r="AH935" s="1" t="s">
        <v>49</v>
      </c>
      <c r="AI935" s="1" t="s">
        <v>47</v>
      </c>
      <c r="AK935" s="1" t="s">
        <v>48</v>
      </c>
      <c r="AL935" s="1" t="s">
        <v>3218</v>
      </c>
    </row>
    <row r="936" spans="1:38">
      <c r="A936" s="1">
        <v>5185903</v>
      </c>
      <c r="B936" s="1" t="s">
        <v>3219</v>
      </c>
      <c r="C936" s="1" t="str">
        <f>"9781408218938"</f>
        <v>9781408218938</v>
      </c>
      <c r="D936" s="1" t="str">
        <f>"9781408218952"</f>
        <v>9781408218952</v>
      </c>
      <c r="E936" s="1" t="s">
        <v>39</v>
      </c>
      <c r="F936" s="1" t="s">
        <v>195</v>
      </c>
      <c r="G936" s="3">
        <v>40456</v>
      </c>
      <c r="H936" s="3">
        <v>43180</v>
      </c>
      <c r="I936" s="1" t="s">
        <v>41</v>
      </c>
      <c r="J936" s="1">
        <v>7</v>
      </c>
      <c r="L936" s="1" t="s">
        <v>3220</v>
      </c>
      <c r="M936" s="1" t="s">
        <v>162</v>
      </c>
      <c r="N936" s="1" t="s">
        <v>3221</v>
      </c>
      <c r="O936" s="1" t="s">
        <v>3222</v>
      </c>
      <c r="P936" s="1" t="s">
        <v>3223</v>
      </c>
      <c r="Q936" s="1" t="s">
        <v>46</v>
      </c>
      <c r="R936" s="1" t="s">
        <v>48</v>
      </c>
      <c r="S936" s="1" t="s">
        <v>47</v>
      </c>
      <c r="T936" s="1" t="s">
        <v>48</v>
      </c>
      <c r="U936" s="1" t="s">
        <v>47</v>
      </c>
      <c r="V936" s="1" t="s">
        <v>47</v>
      </c>
      <c r="W936" s="1" t="s">
        <v>47</v>
      </c>
      <c r="Z936" s="1">
        <v>39.74</v>
      </c>
      <c r="AB936" s="1" t="s">
        <v>48</v>
      </c>
      <c r="AC936" s="1">
        <v>11532088</v>
      </c>
      <c r="AD936" s="1">
        <v>278617</v>
      </c>
      <c r="AF936" s="1" t="s">
        <v>47</v>
      </c>
      <c r="AG936" s="1" t="s">
        <v>47</v>
      </c>
      <c r="AH936" s="1" t="s">
        <v>49</v>
      </c>
      <c r="AI936" s="1" t="s">
        <v>47</v>
      </c>
      <c r="AK936" s="1" t="s">
        <v>48</v>
      </c>
      <c r="AL936" s="1" t="s">
        <v>3224</v>
      </c>
    </row>
    <row r="937" spans="1:38">
      <c r="A937" s="1">
        <v>5185906</v>
      </c>
      <c r="B937" s="1" t="s">
        <v>3225</v>
      </c>
      <c r="C937" s="1" t="str">
        <f>"9781408270479"</f>
        <v>9781408270479</v>
      </c>
      <c r="D937" s="1" t="str">
        <f>"9781408270653"</f>
        <v>9781408270653</v>
      </c>
      <c r="E937" s="1" t="s">
        <v>39</v>
      </c>
      <c r="F937" s="1" t="s">
        <v>40</v>
      </c>
      <c r="G937" s="3">
        <v>41081</v>
      </c>
      <c r="H937" s="3">
        <v>43083</v>
      </c>
      <c r="I937" s="1" t="s">
        <v>41</v>
      </c>
      <c r="J937" s="1">
        <v>4</v>
      </c>
      <c r="L937" s="1" t="s">
        <v>3226</v>
      </c>
      <c r="M937" s="1" t="s">
        <v>162</v>
      </c>
      <c r="N937" s="1" t="s">
        <v>3227</v>
      </c>
      <c r="O937" s="1">
        <v>344.4101</v>
      </c>
      <c r="P937" s="1" t="s">
        <v>3228</v>
      </c>
      <c r="Q937" s="1" t="s">
        <v>46</v>
      </c>
      <c r="R937" s="1" t="s">
        <v>48</v>
      </c>
      <c r="S937" s="1" t="s">
        <v>47</v>
      </c>
      <c r="T937" s="1" t="s">
        <v>48</v>
      </c>
      <c r="U937" s="1" t="s">
        <v>47</v>
      </c>
      <c r="V937" s="1" t="s">
        <v>47</v>
      </c>
      <c r="W937" s="1" t="s">
        <v>47</v>
      </c>
      <c r="Z937" s="1">
        <v>32.24</v>
      </c>
      <c r="AB937" s="1" t="s">
        <v>48</v>
      </c>
      <c r="AC937" s="1">
        <v>11482086</v>
      </c>
      <c r="AD937" s="1">
        <v>369147</v>
      </c>
      <c r="AF937" s="1" t="s">
        <v>47</v>
      </c>
      <c r="AG937" s="1" t="s">
        <v>47</v>
      </c>
      <c r="AH937" s="1" t="s">
        <v>49</v>
      </c>
      <c r="AI937" s="1" t="s">
        <v>47</v>
      </c>
      <c r="AK937" s="1" t="s">
        <v>48</v>
      </c>
      <c r="AL937" s="1" t="s">
        <v>3229</v>
      </c>
    </row>
    <row r="938" spans="1:38">
      <c r="A938" s="1">
        <v>5186048</v>
      </c>
      <c r="B938" s="1" t="s">
        <v>3230</v>
      </c>
      <c r="C938" s="1" t="str">
        <f>"9781292039510"</f>
        <v>9781292039510</v>
      </c>
      <c r="D938" s="1" t="str">
        <f>"9781292052847"</f>
        <v>9781292052847</v>
      </c>
      <c r="E938" s="1" t="s">
        <v>39</v>
      </c>
      <c r="F938" s="1" t="s">
        <v>40</v>
      </c>
      <c r="G938" s="3">
        <v>41550</v>
      </c>
      <c r="H938" s="3">
        <v>43083</v>
      </c>
      <c r="I938" s="1" t="s">
        <v>41</v>
      </c>
      <c r="J938" s="1">
        <v>3</v>
      </c>
      <c r="L938" s="1" t="s">
        <v>3231</v>
      </c>
      <c r="M938" s="1" t="s">
        <v>422</v>
      </c>
      <c r="N938" s="1" t="s">
        <v>3232</v>
      </c>
      <c r="O938" s="1">
        <v>541.28</v>
      </c>
      <c r="P938" s="1" t="s">
        <v>3233</v>
      </c>
      <c r="Q938" s="1" t="s">
        <v>46</v>
      </c>
      <c r="R938" s="1" t="s">
        <v>48</v>
      </c>
      <c r="S938" s="1" t="s">
        <v>47</v>
      </c>
      <c r="T938" s="1" t="s">
        <v>48</v>
      </c>
      <c r="U938" s="1" t="s">
        <v>47</v>
      </c>
      <c r="V938" s="1" t="s">
        <v>47</v>
      </c>
      <c r="W938" s="1" t="s">
        <v>47</v>
      </c>
      <c r="Z938" s="1">
        <v>38.24</v>
      </c>
      <c r="AB938" s="1" t="s">
        <v>48</v>
      </c>
      <c r="AC938" s="1">
        <v>11482190</v>
      </c>
      <c r="AD938" s="1">
        <v>543351</v>
      </c>
      <c r="AF938" s="1" t="s">
        <v>47</v>
      </c>
      <c r="AG938" s="1" t="s">
        <v>47</v>
      </c>
      <c r="AH938" s="1" t="s">
        <v>49</v>
      </c>
      <c r="AI938" s="1" t="s">
        <v>47</v>
      </c>
      <c r="AK938" s="1" t="s">
        <v>48</v>
      </c>
      <c r="AL938" s="1" t="s">
        <v>3234</v>
      </c>
    </row>
    <row r="939" spans="1:38">
      <c r="A939" s="1">
        <v>5186088</v>
      </c>
      <c r="B939" s="1" t="s">
        <v>3235</v>
      </c>
      <c r="C939" s="1" t="str">
        <f>"9781292025988"</f>
        <v>9781292025988</v>
      </c>
      <c r="D939" s="1" t="str">
        <f>"9781292038407"</f>
        <v>9781292038407</v>
      </c>
      <c r="E939" s="1" t="s">
        <v>39</v>
      </c>
      <c r="F939" s="1" t="s">
        <v>40</v>
      </c>
      <c r="G939" s="3">
        <v>41515</v>
      </c>
      <c r="H939" s="3">
        <v>43084</v>
      </c>
      <c r="I939" s="1" t="s">
        <v>41</v>
      </c>
      <c r="J939" s="1">
        <v>3</v>
      </c>
      <c r="L939" s="1" t="s">
        <v>3236</v>
      </c>
      <c r="M939" s="1" t="s">
        <v>242</v>
      </c>
      <c r="N939" s="1" t="s">
        <v>3237</v>
      </c>
      <c r="O939" s="1">
        <v>518.02855299999999</v>
      </c>
      <c r="P939" s="1" t="s">
        <v>3238</v>
      </c>
      <c r="Q939" s="1" t="s">
        <v>46</v>
      </c>
      <c r="R939" s="1" t="s">
        <v>48</v>
      </c>
      <c r="S939" s="1" t="s">
        <v>47</v>
      </c>
      <c r="T939" s="1" t="s">
        <v>48</v>
      </c>
      <c r="U939" s="1" t="s">
        <v>47</v>
      </c>
      <c r="V939" s="1" t="s">
        <v>47</v>
      </c>
      <c r="W939" s="1" t="s">
        <v>47</v>
      </c>
      <c r="Z939" s="1">
        <v>41.99</v>
      </c>
      <c r="AB939" s="1" t="s">
        <v>48</v>
      </c>
      <c r="AC939" s="1">
        <v>11483591</v>
      </c>
      <c r="AD939" s="1">
        <v>527180</v>
      </c>
      <c r="AF939" s="1" t="s">
        <v>47</v>
      </c>
      <c r="AG939" s="1" t="s">
        <v>47</v>
      </c>
      <c r="AH939" s="1" t="s">
        <v>49</v>
      </c>
      <c r="AI939" s="1" t="s">
        <v>47</v>
      </c>
      <c r="AK939" s="1" t="s">
        <v>48</v>
      </c>
      <c r="AL939" s="1" t="s">
        <v>3239</v>
      </c>
    </row>
    <row r="940" spans="1:38">
      <c r="A940" s="1">
        <v>5186090</v>
      </c>
      <c r="B940" s="1" t="s">
        <v>2065</v>
      </c>
      <c r="C940" s="1" t="str">
        <f>"9781292039428"</f>
        <v>9781292039428</v>
      </c>
      <c r="D940" s="1" t="str">
        <f>"9781292055718"</f>
        <v>9781292055718</v>
      </c>
      <c r="E940" s="1" t="s">
        <v>39</v>
      </c>
      <c r="F940" s="1" t="s">
        <v>40</v>
      </c>
      <c r="G940" s="3">
        <v>41550</v>
      </c>
      <c r="H940" s="3">
        <v>43084</v>
      </c>
      <c r="I940" s="1" t="s">
        <v>41</v>
      </c>
      <c r="J940" s="1">
        <v>4</v>
      </c>
      <c r="L940" s="1" t="s">
        <v>3240</v>
      </c>
      <c r="M940" s="1" t="s">
        <v>242</v>
      </c>
      <c r="N940" s="1" t="s">
        <v>3241</v>
      </c>
      <c r="O940" s="1">
        <v>512.9</v>
      </c>
      <c r="P940" s="1" t="s">
        <v>3242</v>
      </c>
      <c r="Q940" s="1" t="s">
        <v>46</v>
      </c>
      <c r="R940" s="1" t="s">
        <v>48</v>
      </c>
      <c r="S940" s="1" t="s">
        <v>47</v>
      </c>
      <c r="T940" s="1" t="s">
        <v>48</v>
      </c>
      <c r="U940" s="1" t="s">
        <v>47</v>
      </c>
      <c r="V940" s="1" t="s">
        <v>47</v>
      </c>
      <c r="W940" s="1" t="s">
        <v>47</v>
      </c>
      <c r="Z940" s="1">
        <v>43.49</v>
      </c>
      <c r="AB940" s="1" t="s">
        <v>48</v>
      </c>
      <c r="AC940" s="1">
        <v>11483592</v>
      </c>
      <c r="AD940" s="1">
        <v>543371</v>
      </c>
      <c r="AF940" s="1" t="s">
        <v>47</v>
      </c>
      <c r="AG940" s="1" t="s">
        <v>47</v>
      </c>
      <c r="AH940" s="1" t="s">
        <v>49</v>
      </c>
      <c r="AI940" s="1" t="s">
        <v>47</v>
      </c>
      <c r="AK940" s="1" t="s">
        <v>48</v>
      </c>
      <c r="AL940" s="1" t="s">
        <v>3243</v>
      </c>
    </row>
    <row r="941" spans="1:38">
      <c r="A941" s="1">
        <v>5186276</v>
      </c>
      <c r="B941" s="1" t="s">
        <v>3244</v>
      </c>
      <c r="C941" s="1" t="str">
        <f>"9781408225417"</f>
        <v>9781408225417</v>
      </c>
      <c r="D941" s="1" t="str">
        <f>"9781408225448"</f>
        <v>9781408225448</v>
      </c>
      <c r="E941" s="1" t="s">
        <v>39</v>
      </c>
      <c r="F941" s="1" t="s">
        <v>195</v>
      </c>
      <c r="G941" s="3">
        <v>40807</v>
      </c>
      <c r="H941" s="3">
        <v>43083</v>
      </c>
      <c r="I941" s="1" t="s">
        <v>41</v>
      </c>
      <c r="J941" s="1">
        <v>4</v>
      </c>
      <c r="L941" s="1" t="s">
        <v>3245</v>
      </c>
      <c r="M941" s="1" t="s">
        <v>162</v>
      </c>
      <c r="N941" s="1" t="s">
        <v>3246</v>
      </c>
      <c r="O941" s="1">
        <v>344.42009999999999</v>
      </c>
      <c r="P941" s="1" t="s">
        <v>3228</v>
      </c>
      <c r="Q941" s="1" t="s">
        <v>46</v>
      </c>
      <c r="R941" s="1" t="s">
        <v>48</v>
      </c>
      <c r="S941" s="1" t="s">
        <v>47</v>
      </c>
      <c r="T941" s="1" t="s">
        <v>48</v>
      </c>
      <c r="U941" s="1" t="s">
        <v>47</v>
      </c>
      <c r="V941" s="1" t="s">
        <v>47</v>
      </c>
      <c r="W941" s="1" t="s">
        <v>47</v>
      </c>
      <c r="Z941" s="1">
        <v>29.24</v>
      </c>
      <c r="AB941" s="1" t="s">
        <v>48</v>
      </c>
      <c r="AC941" s="1">
        <v>11482354</v>
      </c>
      <c r="AD941" s="1">
        <v>327569</v>
      </c>
      <c r="AF941" s="1" t="s">
        <v>47</v>
      </c>
      <c r="AG941" s="1" t="s">
        <v>47</v>
      </c>
      <c r="AH941" s="1" t="s">
        <v>49</v>
      </c>
      <c r="AI941" s="1" t="s">
        <v>47</v>
      </c>
      <c r="AK941" s="1" t="s">
        <v>48</v>
      </c>
      <c r="AL941" s="1" t="s">
        <v>3247</v>
      </c>
    </row>
    <row r="942" spans="1:38">
      <c r="A942" s="1">
        <v>5186317</v>
      </c>
      <c r="B942" s="1" t="s">
        <v>3248</v>
      </c>
      <c r="C942" s="1" t="str">
        <f>"9781408223093"</f>
        <v>9781408223093</v>
      </c>
      <c r="D942" s="1" t="str">
        <f>"9781408223109"</f>
        <v>9781408223109</v>
      </c>
      <c r="E942" s="1" t="s">
        <v>39</v>
      </c>
      <c r="F942" s="1" t="s">
        <v>157</v>
      </c>
      <c r="G942" s="3">
        <v>40807</v>
      </c>
      <c r="H942" s="3">
        <v>43083</v>
      </c>
      <c r="I942" s="1" t="s">
        <v>41</v>
      </c>
      <c r="J942" s="1">
        <v>1</v>
      </c>
      <c r="K942" s="1" t="s">
        <v>3249</v>
      </c>
      <c r="L942" s="1" t="s">
        <v>3250</v>
      </c>
      <c r="M942" s="1" t="s">
        <v>3251</v>
      </c>
      <c r="N942" s="1" t="s">
        <v>3252</v>
      </c>
      <c r="O942" s="1">
        <v>641.29999999999995</v>
      </c>
      <c r="P942" s="1" t="s">
        <v>3253</v>
      </c>
      <c r="Q942" s="1" t="s">
        <v>46</v>
      </c>
      <c r="R942" s="1" t="s">
        <v>48</v>
      </c>
      <c r="S942" s="1" t="s">
        <v>47</v>
      </c>
      <c r="T942" s="1" t="s">
        <v>48</v>
      </c>
      <c r="U942" s="1" t="s">
        <v>47</v>
      </c>
      <c r="V942" s="1" t="s">
        <v>47</v>
      </c>
      <c r="W942" s="1" t="s">
        <v>47</v>
      </c>
      <c r="Z942" s="1">
        <v>36.74</v>
      </c>
      <c r="AB942" s="1" t="s">
        <v>48</v>
      </c>
      <c r="AC942" s="1">
        <v>11482382</v>
      </c>
      <c r="AD942" s="1">
        <v>327568</v>
      </c>
      <c r="AF942" s="1" t="s">
        <v>47</v>
      </c>
      <c r="AG942" s="1" t="s">
        <v>47</v>
      </c>
      <c r="AH942" s="1" t="s">
        <v>49</v>
      </c>
      <c r="AI942" s="1" t="s">
        <v>47</v>
      </c>
      <c r="AK942" s="1" t="s">
        <v>48</v>
      </c>
      <c r="AL942" s="1" t="s">
        <v>3254</v>
      </c>
    </row>
    <row r="943" spans="1:38">
      <c r="A943" s="1">
        <v>5186449</v>
      </c>
      <c r="B943" s="1" t="s">
        <v>3255</v>
      </c>
      <c r="C943" s="1" t="str">
        <f>"9781405840736"</f>
        <v>9781405840736</v>
      </c>
      <c r="D943" s="1" t="str">
        <f>"9781408251102"</f>
        <v>9781408251102</v>
      </c>
      <c r="E943" s="1" t="s">
        <v>39</v>
      </c>
      <c r="F943" s="1" t="s">
        <v>157</v>
      </c>
      <c r="G943" s="3">
        <v>39289</v>
      </c>
      <c r="H943" s="3">
        <v>43180</v>
      </c>
      <c r="I943" s="1" t="s">
        <v>41</v>
      </c>
      <c r="J943" s="1">
        <v>1</v>
      </c>
      <c r="L943" s="1" t="s">
        <v>3256</v>
      </c>
      <c r="M943" s="1" t="s">
        <v>54</v>
      </c>
      <c r="N943" s="1" t="s">
        <v>3257</v>
      </c>
      <c r="O943" s="1">
        <v>371.30281000000002</v>
      </c>
      <c r="P943" s="1" t="s">
        <v>3258</v>
      </c>
      <c r="Q943" s="1" t="s">
        <v>46</v>
      </c>
      <c r="R943" s="1" t="s">
        <v>48</v>
      </c>
      <c r="S943" s="1" t="s">
        <v>47</v>
      </c>
      <c r="T943" s="1" t="s">
        <v>48</v>
      </c>
      <c r="U943" s="1" t="s">
        <v>47</v>
      </c>
      <c r="V943" s="1" t="s">
        <v>47</v>
      </c>
      <c r="W943" s="1" t="s">
        <v>47</v>
      </c>
      <c r="Z943" s="1">
        <v>13.49</v>
      </c>
      <c r="AB943" s="1" t="s">
        <v>48</v>
      </c>
      <c r="AC943" s="1">
        <v>11531232</v>
      </c>
      <c r="AD943" s="1">
        <v>183074</v>
      </c>
      <c r="AF943" s="1" t="s">
        <v>47</v>
      </c>
      <c r="AG943" s="1" t="s">
        <v>47</v>
      </c>
      <c r="AH943" s="1" t="s">
        <v>49</v>
      </c>
      <c r="AI943" s="1" t="s">
        <v>47</v>
      </c>
      <c r="AK943" s="1" t="s">
        <v>48</v>
      </c>
      <c r="AL943" s="1" t="s">
        <v>3259</v>
      </c>
    </row>
    <row r="944" spans="1:38">
      <c r="A944" s="1">
        <v>5248116</v>
      </c>
      <c r="B944" s="1" t="s">
        <v>3260</v>
      </c>
      <c r="C944" s="1" t="str">
        <f>"9780273729495"</f>
        <v>9780273729495</v>
      </c>
      <c r="D944" s="1" t="str">
        <f>"9780273729518"</f>
        <v>9780273729518</v>
      </c>
      <c r="E944" s="1" t="s">
        <v>52</v>
      </c>
      <c r="F944" s="1" t="s">
        <v>40</v>
      </c>
      <c r="G944" s="3">
        <v>41081</v>
      </c>
      <c r="H944" s="3">
        <v>1</v>
      </c>
      <c r="I944" s="1" t="s">
        <v>41</v>
      </c>
      <c r="J944" s="1">
        <v>3</v>
      </c>
      <c r="L944" s="1" t="s">
        <v>3261</v>
      </c>
      <c r="Q944" s="1" t="s">
        <v>46</v>
      </c>
      <c r="R944" s="1" t="s">
        <v>47</v>
      </c>
      <c r="S944" s="1" t="s">
        <v>47</v>
      </c>
      <c r="T944" s="1" t="s">
        <v>48</v>
      </c>
      <c r="U944" s="1" t="s">
        <v>47</v>
      </c>
      <c r="V944" s="1" t="s">
        <v>47</v>
      </c>
      <c r="W944" s="1" t="s">
        <v>47</v>
      </c>
      <c r="Z944" s="1">
        <v>0</v>
      </c>
      <c r="AB944" s="1" t="s">
        <v>47</v>
      </c>
      <c r="AD944" s="1">
        <v>369124</v>
      </c>
      <c r="AF944" s="1" t="s">
        <v>47</v>
      </c>
      <c r="AG944" s="1" t="s">
        <v>47</v>
      </c>
      <c r="AH944" s="1" t="s">
        <v>49</v>
      </c>
      <c r="AI944" s="1" t="s">
        <v>47</v>
      </c>
      <c r="AK944" s="1" t="s">
        <v>48</v>
      </c>
      <c r="AL944" s="1" t="s">
        <v>3262</v>
      </c>
    </row>
    <row r="945" spans="1:38">
      <c r="A945" s="1">
        <v>5248165</v>
      </c>
      <c r="B945" s="1" t="s">
        <v>2500</v>
      </c>
      <c r="C945" s="1" t="str">
        <f>"9781408283097"</f>
        <v>9781408283097</v>
      </c>
      <c r="D945" s="1" t="str">
        <f>"9781408283110"</f>
        <v>9781408283110</v>
      </c>
      <c r="E945" s="1" t="s">
        <v>52</v>
      </c>
      <c r="F945" s="1" t="s">
        <v>40</v>
      </c>
      <c r="G945" s="3">
        <v>41156</v>
      </c>
      <c r="H945" s="3">
        <v>1</v>
      </c>
      <c r="I945" s="1" t="s">
        <v>41</v>
      </c>
      <c r="J945" s="1">
        <v>6</v>
      </c>
      <c r="L945" s="1" t="s">
        <v>3263</v>
      </c>
      <c r="M945" s="1" t="s">
        <v>162</v>
      </c>
      <c r="O945" s="1">
        <v>344.4101</v>
      </c>
      <c r="Q945" s="1" t="s">
        <v>46</v>
      </c>
      <c r="R945" s="1" t="s">
        <v>47</v>
      </c>
      <c r="S945" s="1" t="s">
        <v>47</v>
      </c>
      <c r="T945" s="1" t="s">
        <v>48</v>
      </c>
      <c r="U945" s="1" t="s">
        <v>47</v>
      </c>
      <c r="V945" s="1" t="s">
        <v>47</v>
      </c>
      <c r="W945" s="1" t="s">
        <v>47</v>
      </c>
      <c r="Z945" s="1">
        <v>0</v>
      </c>
      <c r="AB945" s="1" t="s">
        <v>47</v>
      </c>
      <c r="AD945" s="1">
        <v>390403</v>
      </c>
      <c r="AF945" s="1" t="s">
        <v>47</v>
      </c>
      <c r="AG945" s="1" t="s">
        <v>47</v>
      </c>
      <c r="AH945" s="1" t="s">
        <v>49</v>
      </c>
      <c r="AI945" s="1" t="s">
        <v>47</v>
      </c>
      <c r="AK945" s="1" t="s">
        <v>48</v>
      </c>
      <c r="AL945" s="1" t="s">
        <v>3264</v>
      </c>
    </row>
    <row r="946" spans="1:38">
      <c r="A946" s="1">
        <v>5248167</v>
      </c>
      <c r="B946" s="1" t="s">
        <v>3265</v>
      </c>
      <c r="C946" s="1" t="str">
        <f>"9780273760979"</f>
        <v>9780273760979</v>
      </c>
      <c r="D946" s="1" t="str">
        <f>"9780273761006"</f>
        <v>9780273761006</v>
      </c>
      <c r="E946" s="1" t="s">
        <v>52</v>
      </c>
      <c r="F946" s="1" t="s">
        <v>40</v>
      </c>
      <c r="G946" s="3">
        <v>41194</v>
      </c>
      <c r="H946" s="3">
        <v>43348</v>
      </c>
      <c r="I946" s="1" t="s">
        <v>41</v>
      </c>
      <c r="J946" s="1">
        <v>6</v>
      </c>
      <c r="L946" s="1" t="s">
        <v>3266</v>
      </c>
      <c r="Q946" s="1" t="s">
        <v>46</v>
      </c>
      <c r="R946" s="1" t="s">
        <v>47</v>
      </c>
      <c r="S946" s="1" t="s">
        <v>47</v>
      </c>
      <c r="T946" s="1" t="s">
        <v>48</v>
      </c>
      <c r="U946" s="1" t="s">
        <v>47</v>
      </c>
      <c r="V946" s="1" t="s">
        <v>47</v>
      </c>
      <c r="W946" s="1" t="s">
        <v>47</v>
      </c>
      <c r="Z946" s="1">
        <v>0</v>
      </c>
      <c r="AB946" s="1" t="s">
        <v>48</v>
      </c>
      <c r="AD946" s="1">
        <v>399621</v>
      </c>
      <c r="AF946" s="1" t="s">
        <v>47</v>
      </c>
      <c r="AG946" s="1" t="s">
        <v>47</v>
      </c>
      <c r="AH946" s="1" t="s">
        <v>49</v>
      </c>
      <c r="AI946" s="1" t="s">
        <v>47</v>
      </c>
      <c r="AK946" s="1" t="s">
        <v>48</v>
      </c>
      <c r="AL946" s="1" t="s">
        <v>3267</v>
      </c>
    </row>
    <row r="947" spans="1:38">
      <c r="A947" s="1">
        <v>5248168</v>
      </c>
      <c r="B947" s="1" t="s">
        <v>3268</v>
      </c>
      <c r="C947" s="1" t="str">
        <f>"9781408271551"</f>
        <v>9781408271551</v>
      </c>
      <c r="D947" s="1" t="str">
        <f>"9781408271575"</f>
        <v>9781408271575</v>
      </c>
      <c r="E947" s="1" t="s">
        <v>52</v>
      </c>
      <c r="F947" s="1" t="s">
        <v>40</v>
      </c>
      <c r="G947" s="3">
        <v>41194</v>
      </c>
      <c r="H947" s="3">
        <v>1</v>
      </c>
      <c r="I947" s="1" t="s">
        <v>41</v>
      </c>
      <c r="J947" s="1">
        <v>3</v>
      </c>
      <c r="L947" s="1" t="s">
        <v>192</v>
      </c>
      <c r="M947" s="1" t="s">
        <v>162</v>
      </c>
      <c r="O947" s="1">
        <v>346.42021999999997</v>
      </c>
      <c r="Q947" s="1" t="s">
        <v>46</v>
      </c>
      <c r="R947" s="1" t="s">
        <v>47</v>
      </c>
      <c r="S947" s="1" t="s">
        <v>47</v>
      </c>
      <c r="T947" s="1" t="s">
        <v>48</v>
      </c>
      <c r="U947" s="1" t="s">
        <v>47</v>
      </c>
      <c r="V947" s="1" t="s">
        <v>47</v>
      </c>
      <c r="W947" s="1" t="s">
        <v>47</v>
      </c>
      <c r="Z947" s="1">
        <v>0</v>
      </c>
      <c r="AB947" s="1" t="s">
        <v>47</v>
      </c>
      <c r="AD947" s="1">
        <v>399636</v>
      </c>
      <c r="AF947" s="1" t="s">
        <v>47</v>
      </c>
      <c r="AG947" s="1" t="s">
        <v>47</v>
      </c>
      <c r="AH947" s="1" t="s">
        <v>49</v>
      </c>
      <c r="AI947" s="1" t="s">
        <v>47</v>
      </c>
      <c r="AK947" s="1" t="s">
        <v>48</v>
      </c>
      <c r="AL947" s="1" t="s">
        <v>3269</v>
      </c>
    </row>
    <row r="948" spans="1:38">
      <c r="A948" s="1">
        <v>5248175</v>
      </c>
      <c r="B948" s="1" t="s">
        <v>3270</v>
      </c>
      <c r="C948" s="1" t="str">
        <f>"9781408287019"</f>
        <v>9781408287019</v>
      </c>
      <c r="D948" s="1" t="str">
        <f>"9781408287033"</f>
        <v>9781408287033</v>
      </c>
      <c r="E948" s="1" t="s">
        <v>52</v>
      </c>
      <c r="F948" s="1" t="s">
        <v>40</v>
      </c>
      <c r="G948" s="3">
        <v>41215</v>
      </c>
      <c r="H948" s="3">
        <v>1</v>
      </c>
      <c r="I948" s="1" t="s">
        <v>41</v>
      </c>
      <c r="J948" s="1">
        <v>7</v>
      </c>
      <c r="L948" s="1" t="s">
        <v>3271</v>
      </c>
      <c r="M948" s="1" t="s">
        <v>162</v>
      </c>
      <c r="O948" s="1">
        <v>346.42070000000001</v>
      </c>
      <c r="Q948" s="1" t="s">
        <v>46</v>
      </c>
      <c r="R948" s="1" t="s">
        <v>47</v>
      </c>
      <c r="S948" s="1" t="s">
        <v>47</v>
      </c>
      <c r="T948" s="1" t="s">
        <v>48</v>
      </c>
      <c r="U948" s="1" t="s">
        <v>47</v>
      </c>
      <c r="V948" s="1" t="s">
        <v>47</v>
      </c>
      <c r="W948" s="1" t="s">
        <v>47</v>
      </c>
      <c r="Z948" s="1">
        <v>0</v>
      </c>
      <c r="AB948" s="1" t="s">
        <v>47</v>
      </c>
      <c r="AD948" s="1">
        <v>404650</v>
      </c>
      <c r="AF948" s="1" t="s">
        <v>47</v>
      </c>
      <c r="AG948" s="1" t="s">
        <v>47</v>
      </c>
      <c r="AH948" s="1" t="s">
        <v>49</v>
      </c>
      <c r="AI948" s="1" t="s">
        <v>47</v>
      </c>
      <c r="AK948" s="1" t="s">
        <v>48</v>
      </c>
      <c r="AL948" s="1" t="s">
        <v>3272</v>
      </c>
    </row>
    <row r="949" spans="1:38">
      <c r="A949" s="1">
        <v>5248176</v>
      </c>
      <c r="B949" s="1" t="s">
        <v>3273</v>
      </c>
      <c r="C949" s="1" t="str">
        <f>"9780273749936"</f>
        <v>9780273749936</v>
      </c>
      <c r="D949" s="1" t="str">
        <f>"9780273749943"</f>
        <v>9780273749943</v>
      </c>
      <c r="E949" s="1" t="s">
        <v>52</v>
      </c>
      <c r="F949" s="1" t="s">
        <v>157</v>
      </c>
      <c r="G949" s="3">
        <v>41215</v>
      </c>
      <c r="H949" s="3">
        <v>1</v>
      </c>
      <c r="I949" s="1" t="s">
        <v>41</v>
      </c>
      <c r="J949" s="1">
        <v>1</v>
      </c>
      <c r="L949" s="1" t="s">
        <v>3274</v>
      </c>
      <c r="Q949" s="1" t="s">
        <v>46</v>
      </c>
      <c r="R949" s="1" t="s">
        <v>47</v>
      </c>
      <c r="S949" s="1" t="s">
        <v>47</v>
      </c>
      <c r="T949" s="1" t="s">
        <v>48</v>
      </c>
      <c r="U949" s="1" t="s">
        <v>47</v>
      </c>
      <c r="V949" s="1" t="s">
        <v>47</v>
      </c>
      <c r="W949" s="1" t="s">
        <v>47</v>
      </c>
      <c r="Z949" s="1">
        <v>0</v>
      </c>
      <c r="AB949" s="1" t="s">
        <v>47</v>
      </c>
      <c r="AD949" s="1">
        <v>404651</v>
      </c>
      <c r="AF949" s="1" t="s">
        <v>47</v>
      </c>
      <c r="AG949" s="1" t="s">
        <v>47</v>
      </c>
      <c r="AH949" s="1" t="s">
        <v>49</v>
      </c>
      <c r="AI949" s="1" t="s">
        <v>47</v>
      </c>
      <c r="AK949" s="1" t="s">
        <v>48</v>
      </c>
      <c r="AL949" s="1" t="s">
        <v>3275</v>
      </c>
    </row>
    <row r="950" spans="1:38">
      <c r="A950" s="1">
        <v>5248190</v>
      </c>
      <c r="B950" s="1" t="s">
        <v>3276</v>
      </c>
      <c r="C950" s="1" t="str">
        <f>"9781447929499"</f>
        <v>9781447929499</v>
      </c>
      <c r="D950" s="1" t="str">
        <f>"9781447929864"</f>
        <v>9781447929864</v>
      </c>
      <c r="E950" s="1" t="s">
        <v>52</v>
      </c>
      <c r="F950" s="1" t="s">
        <v>40</v>
      </c>
      <c r="G950" s="3">
        <v>41290</v>
      </c>
      <c r="H950" s="3">
        <v>1</v>
      </c>
      <c r="I950" s="1" t="s">
        <v>41</v>
      </c>
      <c r="J950" s="1">
        <v>2</v>
      </c>
      <c r="L950" s="1" t="s">
        <v>140</v>
      </c>
      <c r="Q950" s="1" t="s">
        <v>46</v>
      </c>
      <c r="R950" s="1" t="s">
        <v>47</v>
      </c>
      <c r="S950" s="1" t="s">
        <v>47</v>
      </c>
      <c r="T950" s="1" t="s">
        <v>48</v>
      </c>
      <c r="U950" s="1" t="s">
        <v>47</v>
      </c>
      <c r="V950" s="1" t="s">
        <v>47</v>
      </c>
      <c r="W950" s="1" t="s">
        <v>47</v>
      </c>
      <c r="Z950" s="1">
        <v>0</v>
      </c>
      <c r="AB950" s="1" t="s">
        <v>47</v>
      </c>
      <c r="AD950" s="1">
        <v>459571</v>
      </c>
      <c r="AF950" s="1" t="s">
        <v>47</v>
      </c>
      <c r="AG950" s="1" t="s">
        <v>47</v>
      </c>
      <c r="AH950" s="1" t="s">
        <v>49</v>
      </c>
      <c r="AI950" s="1" t="s">
        <v>47</v>
      </c>
      <c r="AK950" s="1" t="s">
        <v>48</v>
      </c>
      <c r="AL950" s="1" t="s">
        <v>3277</v>
      </c>
    </row>
    <row r="951" spans="1:38">
      <c r="A951" s="1">
        <v>5248195</v>
      </c>
      <c r="B951" s="1" t="s">
        <v>3278</v>
      </c>
      <c r="C951" s="1" t="str">
        <f>"9780273735151"</f>
        <v>9780273735151</v>
      </c>
      <c r="D951" s="1" t="str">
        <f>"9780273737186"</f>
        <v>9780273737186</v>
      </c>
      <c r="E951" s="1" t="s">
        <v>52</v>
      </c>
      <c r="F951" s="1" t="s">
        <v>40</v>
      </c>
      <c r="G951" s="3">
        <v>41319</v>
      </c>
      <c r="H951" s="3">
        <v>1</v>
      </c>
      <c r="I951" s="1" t="s">
        <v>41</v>
      </c>
      <c r="J951" s="1">
        <v>1</v>
      </c>
      <c r="L951" s="1" t="s">
        <v>3279</v>
      </c>
      <c r="Q951" s="1" t="s">
        <v>46</v>
      </c>
      <c r="R951" s="1" t="s">
        <v>47</v>
      </c>
      <c r="S951" s="1" t="s">
        <v>47</v>
      </c>
      <c r="T951" s="1" t="s">
        <v>48</v>
      </c>
      <c r="U951" s="1" t="s">
        <v>47</v>
      </c>
      <c r="V951" s="1" t="s">
        <v>47</v>
      </c>
      <c r="W951" s="1" t="s">
        <v>47</v>
      </c>
      <c r="Z951" s="1">
        <v>0</v>
      </c>
      <c r="AB951" s="1" t="s">
        <v>47</v>
      </c>
      <c r="AD951" s="1">
        <v>460164</v>
      </c>
      <c r="AF951" s="1" t="s">
        <v>47</v>
      </c>
      <c r="AG951" s="1" t="s">
        <v>47</v>
      </c>
      <c r="AH951" s="1" t="s">
        <v>49</v>
      </c>
      <c r="AI951" s="1" t="s">
        <v>47</v>
      </c>
      <c r="AK951" s="1" t="s">
        <v>48</v>
      </c>
      <c r="AL951" s="1" t="s">
        <v>3280</v>
      </c>
    </row>
    <row r="952" spans="1:38">
      <c r="A952" s="1">
        <v>5248198</v>
      </c>
      <c r="B952" s="1" t="s">
        <v>3281</v>
      </c>
      <c r="C952" s="1" t="str">
        <f>"9780321417534"</f>
        <v>9780321417534</v>
      </c>
      <c r="D952" s="1" t="str">
        <f>"9780273760375"</f>
        <v>9780273760375</v>
      </c>
      <c r="E952" s="1" t="s">
        <v>52</v>
      </c>
      <c r="F952" s="1" t="s">
        <v>361</v>
      </c>
      <c r="G952" s="3">
        <v>41312</v>
      </c>
      <c r="H952" s="3">
        <v>1</v>
      </c>
      <c r="I952" s="1" t="s">
        <v>41</v>
      </c>
      <c r="J952" s="1">
        <v>4</v>
      </c>
      <c r="L952" s="1" t="s">
        <v>3282</v>
      </c>
      <c r="Q952" s="1" t="s">
        <v>46</v>
      </c>
      <c r="R952" s="1" t="s">
        <v>47</v>
      </c>
      <c r="S952" s="1" t="s">
        <v>47</v>
      </c>
      <c r="T952" s="1" t="s">
        <v>48</v>
      </c>
      <c r="U952" s="1" t="s">
        <v>47</v>
      </c>
      <c r="V952" s="1" t="s">
        <v>47</v>
      </c>
      <c r="W952" s="1" t="s">
        <v>47</v>
      </c>
      <c r="Z952" s="1">
        <v>0</v>
      </c>
      <c r="AB952" s="1" t="s">
        <v>48</v>
      </c>
      <c r="AD952" s="1">
        <v>462963</v>
      </c>
      <c r="AF952" s="1" t="s">
        <v>47</v>
      </c>
      <c r="AG952" s="1" t="s">
        <v>47</v>
      </c>
      <c r="AH952" s="1" t="s">
        <v>49</v>
      </c>
      <c r="AI952" s="1" t="s">
        <v>47</v>
      </c>
      <c r="AK952" s="1" t="s">
        <v>48</v>
      </c>
      <c r="AL952" s="1" t="s">
        <v>3283</v>
      </c>
    </row>
    <row r="953" spans="1:38">
      <c r="A953" s="1">
        <v>5248200</v>
      </c>
      <c r="B953" s="1" t="s">
        <v>3284</v>
      </c>
      <c r="C953" s="1" t="str">
        <f>"9780273773320"</f>
        <v>9780273773320</v>
      </c>
      <c r="D953" s="1" t="str">
        <f>"9780273773351"</f>
        <v>9780273773351</v>
      </c>
      <c r="E953" s="1" t="s">
        <v>52</v>
      </c>
      <c r="F953" s="1" t="s">
        <v>40</v>
      </c>
      <c r="G953" s="3">
        <v>41311</v>
      </c>
      <c r="H953" s="3">
        <v>1</v>
      </c>
      <c r="I953" s="1" t="s">
        <v>41</v>
      </c>
      <c r="J953" s="1">
        <v>1</v>
      </c>
      <c r="L953" s="1" t="s">
        <v>2132</v>
      </c>
      <c r="Q953" s="1" t="s">
        <v>46</v>
      </c>
      <c r="R953" s="1" t="s">
        <v>47</v>
      </c>
      <c r="S953" s="1" t="s">
        <v>47</v>
      </c>
      <c r="T953" s="1" t="s">
        <v>48</v>
      </c>
      <c r="U953" s="1" t="s">
        <v>47</v>
      </c>
      <c r="V953" s="1" t="s">
        <v>47</v>
      </c>
      <c r="W953" s="1" t="s">
        <v>47</v>
      </c>
      <c r="Z953" s="1">
        <v>0</v>
      </c>
      <c r="AB953" s="1" t="s">
        <v>48</v>
      </c>
      <c r="AD953" s="1">
        <v>463005</v>
      </c>
      <c r="AF953" s="1" t="s">
        <v>47</v>
      </c>
      <c r="AG953" s="1" t="s">
        <v>47</v>
      </c>
      <c r="AH953" s="1" t="s">
        <v>49</v>
      </c>
      <c r="AI953" s="1" t="s">
        <v>47</v>
      </c>
      <c r="AK953" s="1" t="s">
        <v>48</v>
      </c>
      <c r="AL953" s="1" t="s">
        <v>3285</v>
      </c>
    </row>
    <row r="954" spans="1:38">
      <c r="A954" s="1">
        <v>5248202</v>
      </c>
      <c r="B954" s="1" t="s">
        <v>3286</v>
      </c>
      <c r="C954" s="1" t="str">
        <f>"9781408241318"</f>
        <v>9781408241318</v>
      </c>
      <c r="D954" s="1" t="str">
        <f>"9781408241332"</f>
        <v>9781408241332</v>
      </c>
      <c r="E954" s="1" t="s">
        <v>52</v>
      </c>
      <c r="F954" s="1" t="s">
        <v>40</v>
      </c>
      <c r="G954" s="3">
        <v>41311</v>
      </c>
      <c r="H954" s="3">
        <v>1</v>
      </c>
      <c r="I954" s="1" t="s">
        <v>41</v>
      </c>
      <c r="J954" s="1">
        <v>1</v>
      </c>
      <c r="L954" s="1" t="s">
        <v>3287</v>
      </c>
      <c r="Q954" s="1" t="s">
        <v>46</v>
      </c>
      <c r="R954" s="1" t="s">
        <v>47</v>
      </c>
      <c r="S954" s="1" t="s">
        <v>47</v>
      </c>
      <c r="T954" s="1" t="s">
        <v>48</v>
      </c>
      <c r="U954" s="1" t="s">
        <v>47</v>
      </c>
      <c r="V954" s="1" t="s">
        <v>47</v>
      </c>
      <c r="W954" s="1" t="s">
        <v>47</v>
      </c>
      <c r="Z954" s="1">
        <v>0</v>
      </c>
      <c r="AB954" s="1" t="s">
        <v>47</v>
      </c>
      <c r="AD954" s="1">
        <v>463010</v>
      </c>
      <c r="AF954" s="1" t="s">
        <v>47</v>
      </c>
      <c r="AG954" s="1" t="s">
        <v>47</v>
      </c>
      <c r="AH954" s="1" t="s">
        <v>49</v>
      </c>
      <c r="AI954" s="1" t="s">
        <v>47</v>
      </c>
      <c r="AK954" s="1" t="s">
        <v>48</v>
      </c>
      <c r="AL954" s="1" t="s">
        <v>3288</v>
      </c>
    </row>
    <row r="955" spans="1:38">
      <c r="A955" s="1">
        <v>5248203</v>
      </c>
      <c r="B955" s="1" t="s">
        <v>3289</v>
      </c>
      <c r="C955" s="1" t="str">
        <f>"9781447905141"</f>
        <v>9781447905141</v>
      </c>
      <c r="D955" s="1" t="str">
        <f>"9781447905165"</f>
        <v>9781447905165</v>
      </c>
      <c r="E955" s="1" t="s">
        <v>52</v>
      </c>
      <c r="F955" s="1" t="s">
        <v>40</v>
      </c>
      <c r="G955" s="3">
        <v>41311</v>
      </c>
      <c r="H955" s="3">
        <v>1</v>
      </c>
      <c r="I955" s="1" t="s">
        <v>41</v>
      </c>
      <c r="J955" s="1">
        <v>3</v>
      </c>
      <c r="L955" s="1" t="s">
        <v>3290</v>
      </c>
      <c r="Q955" s="1" t="s">
        <v>46</v>
      </c>
      <c r="R955" s="1" t="s">
        <v>47</v>
      </c>
      <c r="S955" s="1" t="s">
        <v>47</v>
      </c>
      <c r="T955" s="1" t="s">
        <v>48</v>
      </c>
      <c r="U955" s="1" t="s">
        <v>47</v>
      </c>
      <c r="V955" s="1" t="s">
        <v>47</v>
      </c>
      <c r="W955" s="1" t="s">
        <v>47</v>
      </c>
      <c r="Z955" s="1">
        <v>0</v>
      </c>
      <c r="AB955" s="1" t="s">
        <v>47</v>
      </c>
      <c r="AD955" s="1">
        <v>463027</v>
      </c>
      <c r="AF955" s="1" t="s">
        <v>47</v>
      </c>
      <c r="AG955" s="1" t="s">
        <v>47</v>
      </c>
      <c r="AH955" s="1" t="s">
        <v>49</v>
      </c>
      <c r="AI955" s="1" t="s">
        <v>47</v>
      </c>
      <c r="AK955" s="1" t="s">
        <v>48</v>
      </c>
      <c r="AL955" s="1" t="s">
        <v>3291</v>
      </c>
    </row>
    <row r="956" spans="1:38">
      <c r="A956" s="1">
        <v>5248207</v>
      </c>
      <c r="B956" s="1" t="s">
        <v>3292</v>
      </c>
      <c r="C956" s="1" t="str">
        <f>""</f>
        <v/>
      </c>
      <c r="D956" s="1" t="str">
        <f>"9781447930341"</f>
        <v>9781447930341</v>
      </c>
      <c r="E956" s="1" t="s">
        <v>52</v>
      </c>
      <c r="F956" s="1" t="s">
        <v>365</v>
      </c>
      <c r="G956" s="3">
        <v>41339</v>
      </c>
      <c r="H956" s="3">
        <v>43348</v>
      </c>
      <c r="I956" s="1" t="s">
        <v>41</v>
      </c>
      <c r="J956" s="1">
        <v>12</v>
      </c>
      <c r="L956" s="1" t="s">
        <v>3293</v>
      </c>
      <c r="Q956" s="1" t="s">
        <v>46</v>
      </c>
      <c r="R956" s="1" t="s">
        <v>47</v>
      </c>
      <c r="S956" s="1" t="s">
        <v>47</v>
      </c>
      <c r="T956" s="1" t="s">
        <v>48</v>
      </c>
      <c r="U956" s="1" t="s">
        <v>47</v>
      </c>
      <c r="V956" s="1" t="s">
        <v>47</v>
      </c>
      <c r="W956" s="1" t="s">
        <v>47</v>
      </c>
      <c r="Z956" s="1">
        <v>0</v>
      </c>
      <c r="AB956" s="1" t="s">
        <v>48</v>
      </c>
      <c r="AD956" s="1">
        <v>463081</v>
      </c>
      <c r="AF956" s="1" t="s">
        <v>47</v>
      </c>
      <c r="AG956" s="1" t="s">
        <v>47</v>
      </c>
      <c r="AH956" s="1" t="s">
        <v>49</v>
      </c>
      <c r="AI956" s="1" t="s">
        <v>47</v>
      </c>
      <c r="AK956" s="1" t="s">
        <v>48</v>
      </c>
      <c r="AL956" s="1" t="s">
        <v>3294</v>
      </c>
    </row>
    <row r="957" spans="1:38">
      <c r="A957" s="1">
        <v>5248208</v>
      </c>
      <c r="B957" s="1" t="s">
        <v>3295</v>
      </c>
      <c r="C957" s="1" t="str">
        <f>"9780273753872"</f>
        <v>9780273753872</v>
      </c>
      <c r="D957" s="1" t="str">
        <f>"9781447930297"</f>
        <v>9781447930297</v>
      </c>
      <c r="E957" s="1" t="s">
        <v>52</v>
      </c>
      <c r="F957" s="1" t="s">
        <v>365</v>
      </c>
      <c r="G957" s="3">
        <v>41339</v>
      </c>
      <c r="H957" s="3">
        <v>1</v>
      </c>
      <c r="I957" s="1" t="s">
        <v>41</v>
      </c>
      <c r="J957" s="1">
        <v>14</v>
      </c>
      <c r="L957" s="1" t="s">
        <v>3296</v>
      </c>
      <c r="Q957" s="1" t="s">
        <v>46</v>
      </c>
      <c r="R957" s="1" t="s">
        <v>47</v>
      </c>
      <c r="S957" s="1" t="s">
        <v>47</v>
      </c>
      <c r="T957" s="1" t="s">
        <v>48</v>
      </c>
      <c r="U957" s="1" t="s">
        <v>47</v>
      </c>
      <c r="V957" s="1" t="s">
        <v>47</v>
      </c>
      <c r="W957" s="1" t="s">
        <v>47</v>
      </c>
      <c r="Z957" s="1">
        <v>0</v>
      </c>
      <c r="AB957" s="1" t="s">
        <v>47</v>
      </c>
      <c r="AD957" s="1">
        <v>463082</v>
      </c>
      <c r="AF957" s="1" t="s">
        <v>47</v>
      </c>
      <c r="AG957" s="1" t="s">
        <v>47</v>
      </c>
      <c r="AH957" s="1" t="s">
        <v>49</v>
      </c>
      <c r="AI957" s="1" t="s">
        <v>47</v>
      </c>
      <c r="AK957" s="1" t="s">
        <v>48</v>
      </c>
      <c r="AL957" s="1" t="s">
        <v>3297</v>
      </c>
    </row>
    <row r="958" spans="1:38">
      <c r="A958" s="1">
        <v>5248211</v>
      </c>
      <c r="B958" s="1" t="s">
        <v>3298</v>
      </c>
      <c r="C958" s="1" t="str">
        <f>"9780273774501"</f>
        <v>9780273774501</v>
      </c>
      <c r="D958" s="1" t="str">
        <f>"9780273774518"</f>
        <v>9780273774518</v>
      </c>
      <c r="E958" s="1" t="s">
        <v>52</v>
      </c>
      <c r="F958" s="1" t="s">
        <v>365</v>
      </c>
      <c r="G958" s="3">
        <v>41353</v>
      </c>
      <c r="H958" s="3">
        <v>1</v>
      </c>
      <c r="I958" s="1" t="s">
        <v>41</v>
      </c>
      <c r="J958" s="1">
        <v>6</v>
      </c>
      <c r="L958" s="1" t="s">
        <v>3299</v>
      </c>
      <c r="Q958" s="1" t="s">
        <v>46</v>
      </c>
      <c r="R958" s="1" t="s">
        <v>47</v>
      </c>
      <c r="S958" s="1" t="s">
        <v>47</v>
      </c>
      <c r="T958" s="1" t="s">
        <v>48</v>
      </c>
      <c r="U958" s="1" t="s">
        <v>47</v>
      </c>
      <c r="V958" s="1" t="s">
        <v>47</v>
      </c>
      <c r="W958" s="1" t="s">
        <v>47</v>
      </c>
      <c r="Z958" s="1">
        <v>0</v>
      </c>
      <c r="AB958" s="1" t="s">
        <v>47</v>
      </c>
      <c r="AD958" s="1">
        <v>469815</v>
      </c>
      <c r="AF958" s="1" t="s">
        <v>47</v>
      </c>
      <c r="AG958" s="1" t="s">
        <v>47</v>
      </c>
      <c r="AH958" s="1" t="s">
        <v>49</v>
      </c>
      <c r="AI958" s="1" t="s">
        <v>47</v>
      </c>
      <c r="AK958" s="1" t="s">
        <v>48</v>
      </c>
      <c r="AL958" s="1" t="s">
        <v>3300</v>
      </c>
    </row>
    <row r="959" spans="1:38">
      <c r="A959" s="1">
        <v>5248215</v>
      </c>
      <c r="B959" s="1" t="s">
        <v>3301</v>
      </c>
      <c r="C959" s="1" t="str">
        <f>"9780273772729"</f>
        <v>9780273772729</v>
      </c>
      <c r="D959" s="1" t="str">
        <f>"9780273772750"</f>
        <v>9780273772750</v>
      </c>
      <c r="E959" s="1" t="s">
        <v>52</v>
      </c>
      <c r="F959" s="1" t="s">
        <v>40</v>
      </c>
      <c r="G959" s="3">
        <v>41393</v>
      </c>
      <c r="H959" s="3">
        <v>43348</v>
      </c>
      <c r="I959" s="1" t="s">
        <v>41</v>
      </c>
      <c r="J959" s="1">
        <v>5</v>
      </c>
      <c r="L959" s="1" t="s">
        <v>3302</v>
      </c>
      <c r="Q959" s="1" t="s">
        <v>46</v>
      </c>
      <c r="R959" s="1" t="s">
        <v>47</v>
      </c>
      <c r="S959" s="1" t="s">
        <v>47</v>
      </c>
      <c r="T959" s="1" t="s">
        <v>48</v>
      </c>
      <c r="U959" s="1" t="s">
        <v>47</v>
      </c>
      <c r="V959" s="1" t="s">
        <v>47</v>
      </c>
      <c r="W959" s="1" t="s">
        <v>47</v>
      </c>
      <c r="Z959" s="1">
        <v>0</v>
      </c>
      <c r="AB959" s="1" t="s">
        <v>48</v>
      </c>
      <c r="AD959" s="1">
        <v>485111</v>
      </c>
      <c r="AF959" s="1" t="s">
        <v>47</v>
      </c>
      <c r="AG959" s="1" t="s">
        <v>47</v>
      </c>
      <c r="AH959" s="1" t="s">
        <v>49</v>
      </c>
      <c r="AI959" s="1" t="s">
        <v>47</v>
      </c>
      <c r="AK959" s="1" t="s">
        <v>48</v>
      </c>
      <c r="AL959" s="1" t="s">
        <v>3303</v>
      </c>
    </row>
    <row r="960" spans="1:38">
      <c r="A960" s="1">
        <v>5248219</v>
      </c>
      <c r="B960" s="1" t="s">
        <v>3304</v>
      </c>
      <c r="C960" s="1" t="str">
        <f>"9780273757825"</f>
        <v>9780273757825</v>
      </c>
      <c r="D960" s="1" t="str">
        <f>"9780273757863"</f>
        <v>9780273757863</v>
      </c>
      <c r="E960" s="1" t="s">
        <v>52</v>
      </c>
      <c r="F960" s="1" t="s">
        <v>40</v>
      </c>
      <c r="G960" s="3">
        <v>41436</v>
      </c>
      <c r="H960" s="3">
        <v>1</v>
      </c>
      <c r="I960" s="1" t="s">
        <v>41</v>
      </c>
      <c r="J960" s="1">
        <v>4</v>
      </c>
      <c r="L960" s="1" t="s">
        <v>3305</v>
      </c>
      <c r="Q960" s="1" t="s">
        <v>46</v>
      </c>
      <c r="R960" s="1" t="s">
        <v>47</v>
      </c>
      <c r="S960" s="1" t="s">
        <v>47</v>
      </c>
      <c r="T960" s="1" t="s">
        <v>48</v>
      </c>
      <c r="U960" s="1" t="s">
        <v>47</v>
      </c>
      <c r="V960" s="1" t="s">
        <v>47</v>
      </c>
      <c r="W960" s="1" t="s">
        <v>47</v>
      </c>
      <c r="Z960" s="1">
        <v>0</v>
      </c>
      <c r="AB960" s="1" t="s">
        <v>48</v>
      </c>
      <c r="AD960" s="1">
        <v>497441</v>
      </c>
      <c r="AF960" s="1" t="s">
        <v>47</v>
      </c>
      <c r="AG960" s="1" t="s">
        <v>47</v>
      </c>
      <c r="AH960" s="1" t="s">
        <v>49</v>
      </c>
      <c r="AI960" s="1" t="s">
        <v>47</v>
      </c>
      <c r="AK960" s="1" t="s">
        <v>48</v>
      </c>
      <c r="AL960" s="1" t="s">
        <v>3306</v>
      </c>
    </row>
    <row r="961" spans="1:38">
      <c r="A961" s="1">
        <v>5248220</v>
      </c>
      <c r="B961" s="1" t="s">
        <v>3307</v>
      </c>
      <c r="C961" s="1" t="str">
        <f>"9780273773221"</f>
        <v>9780273773221</v>
      </c>
      <c r="D961" s="1" t="str">
        <f>"9780273773245"</f>
        <v>9780273773245</v>
      </c>
      <c r="E961" s="1" t="s">
        <v>52</v>
      </c>
      <c r="F961" s="1" t="s">
        <v>40</v>
      </c>
      <c r="G961" s="3">
        <v>41459</v>
      </c>
      <c r="H961" s="3">
        <v>1</v>
      </c>
      <c r="I961" s="1" t="s">
        <v>41</v>
      </c>
      <c r="J961" s="1">
        <v>5</v>
      </c>
      <c r="L961" s="1" t="s">
        <v>3308</v>
      </c>
      <c r="Q961" s="1" t="s">
        <v>46</v>
      </c>
      <c r="R961" s="1" t="s">
        <v>47</v>
      </c>
      <c r="S961" s="1" t="s">
        <v>47</v>
      </c>
      <c r="T961" s="1" t="s">
        <v>48</v>
      </c>
      <c r="U961" s="1" t="s">
        <v>47</v>
      </c>
      <c r="V961" s="1" t="s">
        <v>47</v>
      </c>
      <c r="W961" s="1" t="s">
        <v>47</v>
      </c>
      <c r="Z961" s="1">
        <v>0</v>
      </c>
      <c r="AB961" s="1" t="s">
        <v>48</v>
      </c>
      <c r="AD961" s="1">
        <v>502436</v>
      </c>
      <c r="AF961" s="1" t="s">
        <v>47</v>
      </c>
      <c r="AG961" s="1" t="s">
        <v>47</v>
      </c>
      <c r="AH961" s="1" t="s">
        <v>49</v>
      </c>
      <c r="AI961" s="1" t="s">
        <v>47</v>
      </c>
      <c r="AK961" s="1" t="s">
        <v>48</v>
      </c>
      <c r="AL961" s="1" t="s">
        <v>3309</v>
      </c>
    </row>
    <row r="962" spans="1:38">
      <c r="A962" s="1">
        <v>5248234</v>
      </c>
      <c r="B962" s="1" t="s">
        <v>3310</v>
      </c>
      <c r="C962" s="1" t="str">
        <f>"9780273784388"</f>
        <v>9780273784388</v>
      </c>
      <c r="D962" s="1" t="str">
        <f>"9780273784432"</f>
        <v>9780273784432</v>
      </c>
      <c r="E962" s="1" t="s">
        <v>52</v>
      </c>
      <c r="F962" s="1" t="s">
        <v>40</v>
      </c>
      <c r="G962" s="3">
        <v>41513</v>
      </c>
      <c r="H962" s="3">
        <v>1</v>
      </c>
      <c r="I962" s="1" t="s">
        <v>41</v>
      </c>
      <c r="J962" s="1">
        <v>14</v>
      </c>
      <c r="L962" s="1" t="s">
        <v>528</v>
      </c>
      <c r="M962" s="1" t="s">
        <v>162</v>
      </c>
      <c r="O962" s="1">
        <v>349.42</v>
      </c>
      <c r="Q962" s="1" t="s">
        <v>46</v>
      </c>
      <c r="R962" s="1" t="s">
        <v>47</v>
      </c>
      <c r="S962" s="1" t="s">
        <v>47</v>
      </c>
      <c r="T962" s="1" t="s">
        <v>48</v>
      </c>
      <c r="U962" s="1" t="s">
        <v>47</v>
      </c>
      <c r="V962" s="1" t="s">
        <v>47</v>
      </c>
      <c r="W962" s="1" t="s">
        <v>47</v>
      </c>
      <c r="Z962" s="1">
        <v>0</v>
      </c>
      <c r="AB962" s="1" t="s">
        <v>47</v>
      </c>
      <c r="AD962" s="1">
        <v>511606</v>
      </c>
      <c r="AF962" s="1" t="s">
        <v>47</v>
      </c>
      <c r="AG962" s="1" t="s">
        <v>47</v>
      </c>
      <c r="AH962" s="1" t="s">
        <v>49</v>
      </c>
      <c r="AI962" s="1" t="s">
        <v>47</v>
      </c>
      <c r="AK962" s="1" t="s">
        <v>48</v>
      </c>
      <c r="AL962" s="1" t="s">
        <v>3311</v>
      </c>
    </row>
    <row r="963" spans="1:38">
      <c r="A963" s="1">
        <v>5248236</v>
      </c>
      <c r="B963" s="1" t="s">
        <v>3312</v>
      </c>
      <c r="C963" s="1" t="str">
        <f>""</f>
        <v/>
      </c>
      <c r="D963" s="1" t="str">
        <f>"9780273765707"</f>
        <v>9780273765707</v>
      </c>
      <c r="E963" s="1" t="s">
        <v>52</v>
      </c>
      <c r="F963" s="1" t="s">
        <v>365</v>
      </c>
      <c r="G963" s="3">
        <v>41584</v>
      </c>
      <c r="H963" s="3">
        <v>1</v>
      </c>
      <c r="I963" s="1" t="s">
        <v>41</v>
      </c>
      <c r="J963" s="1">
        <v>8</v>
      </c>
      <c r="L963" s="1" t="s">
        <v>3313</v>
      </c>
      <c r="Q963" s="1" t="s">
        <v>46</v>
      </c>
      <c r="R963" s="1" t="s">
        <v>47</v>
      </c>
      <c r="S963" s="1" t="s">
        <v>47</v>
      </c>
      <c r="T963" s="1" t="s">
        <v>48</v>
      </c>
      <c r="U963" s="1" t="s">
        <v>47</v>
      </c>
      <c r="V963" s="1" t="s">
        <v>47</v>
      </c>
      <c r="W963" s="1" t="s">
        <v>47</v>
      </c>
      <c r="Z963" s="1">
        <v>0</v>
      </c>
      <c r="AB963" s="1" t="s">
        <v>48</v>
      </c>
      <c r="AD963" s="1">
        <v>523690</v>
      </c>
      <c r="AF963" s="1" t="s">
        <v>47</v>
      </c>
      <c r="AG963" s="1" t="s">
        <v>47</v>
      </c>
      <c r="AH963" s="1" t="s">
        <v>49</v>
      </c>
      <c r="AI963" s="1" t="s">
        <v>47</v>
      </c>
      <c r="AK963" s="1" t="s">
        <v>48</v>
      </c>
      <c r="AL963" s="1" t="s">
        <v>3314</v>
      </c>
    </row>
    <row r="964" spans="1:38">
      <c r="A964" s="1">
        <v>5248239</v>
      </c>
      <c r="B964" s="1" t="s">
        <v>3315</v>
      </c>
      <c r="C964" s="1" t="str">
        <f>""</f>
        <v/>
      </c>
      <c r="D964" s="1" t="str">
        <f>"9780273778271"</f>
        <v>9780273778271</v>
      </c>
      <c r="E964" s="1" t="s">
        <v>52</v>
      </c>
      <c r="F964" s="1" t="s">
        <v>40</v>
      </c>
      <c r="G964" s="3">
        <v>41584</v>
      </c>
      <c r="H964" s="3">
        <v>1</v>
      </c>
      <c r="I964" s="1" t="s">
        <v>41</v>
      </c>
      <c r="J964" s="1">
        <v>6</v>
      </c>
      <c r="L964" s="1" t="s">
        <v>3316</v>
      </c>
      <c r="Q964" s="1" t="s">
        <v>46</v>
      </c>
      <c r="R964" s="1" t="s">
        <v>47</v>
      </c>
      <c r="S964" s="1" t="s">
        <v>47</v>
      </c>
      <c r="T964" s="1" t="s">
        <v>48</v>
      </c>
      <c r="U964" s="1" t="s">
        <v>47</v>
      </c>
      <c r="V964" s="1" t="s">
        <v>47</v>
      </c>
      <c r="W964" s="1" t="s">
        <v>47</v>
      </c>
      <c r="Z964" s="1">
        <v>0</v>
      </c>
      <c r="AB964" s="1" t="s">
        <v>47</v>
      </c>
      <c r="AD964" s="1">
        <v>523715</v>
      </c>
      <c r="AF964" s="1" t="s">
        <v>47</v>
      </c>
      <c r="AG964" s="1" t="s">
        <v>47</v>
      </c>
      <c r="AH964" s="1" t="s">
        <v>49</v>
      </c>
      <c r="AI964" s="1" t="s">
        <v>47</v>
      </c>
      <c r="AK964" s="1" t="s">
        <v>48</v>
      </c>
      <c r="AL964" s="1" t="s">
        <v>3317</v>
      </c>
    </row>
    <row r="965" spans="1:38">
      <c r="A965" s="1">
        <v>5248241</v>
      </c>
      <c r="B965" s="1" t="s">
        <v>3318</v>
      </c>
      <c r="C965" s="1" t="str">
        <f>"9781292020273"</f>
        <v>9781292020273</v>
      </c>
      <c r="D965" s="1" t="str">
        <f>"9781292033631"</f>
        <v>9781292033631</v>
      </c>
      <c r="E965" s="1" t="s">
        <v>52</v>
      </c>
      <c r="F965" s="1" t="s">
        <v>40</v>
      </c>
      <c r="G965" s="3">
        <v>41513</v>
      </c>
      <c r="H965" s="3">
        <v>1</v>
      </c>
      <c r="I965" s="1" t="s">
        <v>41</v>
      </c>
      <c r="J965" s="1">
        <v>6</v>
      </c>
      <c r="L965" s="1" t="s">
        <v>3319</v>
      </c>
      <c r="Q965" s="1" t="s">
        <v>46</v>
      </c>
      <c r="R965" s="1" t="s">
        <v>47</v>
      </c>
      <c r="S965" s="1" t="s">
        <v>47</v>
      </c>
      <c r="T965" s="1" t="s">
        <v>48</v>
      </c>
      <c r="U965" s="1" t="s">
        <v>47</v>
      </c>
      <c r="V965" s="1" t="s">
        <v>47</v>
      </c>
      <c r="W965" s="1" t="s">
        <v>47</v>
      </c>
      <c r="Z965" s="1">
        <v>0</v>
      </c>
      <c r="AB965" s="1" t="s">
        <v>47</v>
      </c>
      <c r="AD965" s="1">
        <v>526928</v>
      </c>
      <c r="AF965" s="1" t="s">
        <v>47</v>
      </c>
      <c r="AG965" s="1" t="s">
        <v>47</v>
      </c>
      <c r="AH965" s="1" t="s">
        <v>49</v>
      </c>
      <c r="AI965" s="1" t="s">
        <v>47</v>
      </c>
      <c r="AK965" s="1" t="s">
        <v>48</v>
      </c>
      <c r="AL965" s="1" t="s">
        <v>3320</v>
      </c>
    </row>
    <row r="966" spans="1:38">
      <c r="A966" s="1">
        <v>5248244</v>
      </c>
      <c r="B966" s="1" t="s">
        <v>454</v>
      </c>
      <c r="C966" s="1" t="str">
        <f>"9781292021249"</f>
        <v>9781292021249</v>
      </c>
      <c r="D966" s="1" t="str">
        <f>"9781292034478"</f>
        <v>9781292034478</v>
      </c>
      <c r="E966" s="1" t="s">
        <v>52</v>
      </c>
      <c r="F966" s="1" t="s">
        <v>40</v>
      </c>
      <c r="G966" s="3">
        <v>41513</v>
      </c>
      <c r="H966" s="3">
        <v>1</v>
      </c>
      <c r="I966" s="1" t="s">
        <v>41</v>
      </c>
      <c r="J966" s="1">
        <v>7</v>
      </c>
      <c r="L966" s="1" t="s">
        <v>3321</v>
      </c>
      <c r="Q966" s="1" t="s">
        <v>46</v>
      </c>
      <c r="R966" s="1" t="s">
        <v>47</v>
      </c>
      <c r="S966" s="1" t="s">
        <v>47</v>
      </c>
      <c r="T966" s="1" t="s">
        <v>48</v>
      </c>
      <c r="U966" s="1" t="s">
        <v>47</v>
      </c>
      <c r="V966" s="1" t="s">
        <v>47</v>
      </c>
      <c r="W966" s="1" t="s">
        <v>47</v>
      </c>
      <c r="Z966" s="1">
        <v>0</v>
      </c>
      <c r="AB966" s="1" t="s">
        <v>47</v>
      </c>
      <c r="AD966" s="1">
        <v>526961</v>
      </c>
      <c r="AF966" s="1" t="s">
        <v>47</v>
      </c>
      <c r="AG966" s="1" t="s">
        <v>47</v>
      </c>
      <c r="AH966" s="1" t="s">
        <v>49</v>
      </c>
      <c r="AI966" s="1" t="s">
        <v>47</v>
      </c>
      <c r="AK966" s="1" t="s">
        <v>48</v>
      </c>
      <c r="AL966" s="1" t="s">
        <v>3322</v>
      </c>
    </row>
    <row r="967" spans="1:38">
      <c r="A967" s="1">
        <v>5248245</v>
      </c>
      <c r="B967" s="1" t="s">
        <v>3323</v>
      </c>
      <c r="C967" s="1" t="str">
        <f>"9781292021171"</f>
        <v>9781292021171</v>
      </c>
      <c r="D967" s="1" t="str">
        <f>"9781292034409"</f>
        <v>9781292034409</v>
      </c>
      <c r="E967" s="1" t="s">
        <v>52</v>
      </c>
      <c r="F967" s="1" t="s">
        <v>40</v>
      </c>
      <c r="G967" s="3">
        <v>41513</v>
      </c>
      <c r="H967" s="3">
        <v>1</v>
      </c>
      <c r="I967" s="1" t="s">
        <v>41</v>
      </c>
      <c r="J967" s="1">
        <v>10</v>
      </c>
      <c r="L967" s="1" t="s">
        <v>3324</v>
      </c>
      <c r="Q967" s="1" t="s">
        <v>46</v>
      </c>
      <c r="R967" s="1" t="s">
        <v>47</v>
      </c>
      <c r="S967" s="1" t="s">
        <v>47</v>
      </c>
      <c r="T967" s="1" t="s">
        <v>48</v>
      </c>
      <c r="U967" s="1" t="s">
        <v>47</v>
      </c>
      <c r="V967" s="1" t="s">
        <v>47</v>
      </c>
      <c r="W967" s="1" t="s">
        <v>47</v>
      </c>
      <c r="Z967" s="1">
        <v>0</v>
      </c>
      <c r="AB967" s="1" t="s">
        <v>47</v>
      </c>
      <c r="AD967" s="1">
        <v>526969</v>
      </c>
      <c r="AF967" s="1" t="s">
        <v>47</v>
      </c>
      <c r="AG967" s="1" t="s">
        <v>47</v>
      </c>
      <c r="AH967" s="1" t="s">
        <v>49</v>
      </c>
      <c r="AI967" s="1" t="s">
        <v>47</v>
      </c>
      <c r="AK967" s="1" t="s">
        <v>48</v>
      </c>
      <c r="AL967" s="1" t="s">
        <v>3325</v>
      </c>
    </row>
    <row r="968" spans="1:38">
      <c r="A968" s="1">
        <v>5248248</v>
      </c>
      <c r="B968" s="1" t="s">
        <v>3326</v>
      </c>
      <c r="C968" s="1" t="str">
        <f>"9781292021201"</f>
        <v>9781292021201</v>
      </c>
      <c r="D968" s="1" t="str">
        <f>"9781292034430"</f>
        <v>9781292034430</v>
      </c>
      <c r="E968" s="1" t="s">
        <v>52</v>
      </c>
      <c r="F968" s="1" t="s">
        <v>40</v>
      </c>
      <c r="G968" s="3">
        <v>41513</v>
      </c>
      <c r="H968" s="3">
        <v>1</v>
      </c>
      <c r="I968" s="1" t="s">
        <v>41</v>
      </c>
      <c r="J968" s="1">
        <v>2</v>
      </c>
      <c r="L968" s="1" t="s">
        <v>3327</v>
      </c>
      <c r="Q968" s="1" t="s">
        <v>46</v>
      </c>
      <c r="R968" s="1" t="s">
        <v>47</v>
      </c>
      <c r="S968" s="1" t="s">
        <v>47</v>
      </c>
      <c r="T968" s="1" t="s">
        <v>48</v>
      </c>
      <c r="U968" s="1" t="s">
        <v>47</v>
      </c>
      <c r="V968" s="1" t="s">
        <v>47</v>
      </c>
      <c r="W968" s="1" t="s">
        <v>47</v>
      </c>
      <c r="Z968" s="1">
        <v>0</v>
      </c>
      <c r="AB968" s="1" t="s">
        <v>47</v>
      </c>
      <c r="AD968" s="1">
        <v>526977</v>
      </c>
      <c r="AF968" s="1" t="s">
        <v>47</v>
      </c>
      <c r="AG968" s="1" t="s">
        <v>47</v>
      </c>
      <c r="AH968" s="1" t="s">
        <v>49</v>
      </c>
      <c r="AI968" s="1" t="s">
        <v>47</v>
      </c>
      <c r="AK968" s="1" t="s">
        <v>48</v>
      </c>
      <c r="AL968" s="1" t="s">
        <v>3328</v>
      </c>
    </row>
    <row r="969" spans="1:38">
      <c r="A969" s="1">
        <v>5248250</v>
      </c>
      <c r="B969" s="1" t="s">
        <v>3329</v>
      </c>
      <c r="C969" s="1" t="str">
        <f>"9781292021416"</f>
        <v>9781292021416</v>
      </c>
      <c r="D969" s="1" t="str">
        <f>"9781292034645"</f>
        <v>9781292034645</v>
      </c>
      <c r="E969" s="1" t="s">
        <v>52</v>
      </c>
      <c r="F969" s="1" t="s">
        <v>40</v>
      </c>
      <c r="G969" s="3">
        <v>41513</v>
      </c>
      <c r="H969" s="3">
        <v>1</v>
      </c>
      <c r="I969" s="1" t="s">
        <v>41</v>
      </c>
      <c r="J969" s="1">
        <v>6</v>
      </c>
      <c r="L969" s="1" t="s">
        <v>3330</v>
      </c>
      <c r="Q969" s="1" t="s">
        <v>46</v>
      </c>
      <c r="R969" s="1" t="s">
        <v>47</v>
      </c>
      <c r="S969" s="1" t="s">
        <v>47</v>
      </c>
      <c r="T969" s="1" t="s">
        <v>48</v>
      </c>
      <c r="U969" s="1" t="s">
        <v>47</v>
      </c>
      <c r="V969" s="1" t="s">
        <v>47</v>
      </c>
      <c r="W969" s="1" t="s">
        <v>47</v>
      </c>
      <c r="Z969" s="1">
        <v>0</v>
      </c>
      <c r="AB969" s="1" t="s">
        <v>47</v>
      </c>
      <c r="AD969" s="1">
        <v>527002</v>
      </c>
      <c r="AF969" s="1" t="s">
        <v>47</v>
      </c>
      <c r="AG969" s="1" t="s">
        <v>47</v>
      </c>
      <c r="AH969" s="1" t="s">
        <v>49</v>
      </c>
      <c r="AI969" s="1" t="s">
        <v>47</v>
      </c>
      <c r="AK969" s="1" t="s">
        <v>48</v>
      </c>
      <c r="AL969" s="1" t="s">
        <v>3331</v>
      </c>
    </row>
    <row r="970" spans="1:38">
      <c r="A970" s="1">
        <v>5248251</v>
      </c>
      <c r="B970" s="1" t="s">
        <v>3332</v>
      </c>
      <c r="C970" s="1" t="str">
        <f>"9781292021713"</f>
        <v>9781292021713</v>
      </c>
      <c r="D970" s="1" t="str">
        <f>"9781292034942"</f>
        <v>9781292034942</v>
      </c>
      <c r="E970" s="1" t="s">
        <v>52</v>
      </c>
      <c r="F970" s="1" t="s">
        <v>40</v>
      </c>
      <c r="G970" s="3">
        <v>41513</v>
      </c>
      <c r="H970" s="3">
        <v>1</v>
      </c>
      <c r="I970" s="1" t="s">
        <v>41</v>
      </c>
      <c r="J970" s="1">
        <v>7</v>
      </c>
      <c r="L970" s="1" t="s">
        <v>3333</v>
      </c>
      <c r="Q970" s="1" t="s">
        <v>46</v>
      </c>
      <c r="R970" s="1" t="s">
        <v>47</v>
      </c>
      <c r="S970" s="1" t="s">
        <v>47</v>
      </c>
      <c r="T970" s="1" t="s">
        <v>48</v>
      </c>
      <c r="U970" s="1" t="s">
        <v>47</v>
      </c>
      <c r="V970" s="1" t="s">
        <v>47</v>
      </c>
      <c r="W970" s="1" t="s">
        <v>47</v>
      </c>
      <c r="Z970" s="1">
        <v>0</v>
      </c>
      <c r="AB970" s="1" t="s">
        <v>47</v>
      </c>
      <c r="AD970" s="1">
        <v>527003</v>
      </c>
      <c r="AF970" s="1" t="s">
        <v>47</v>
      </c>
      <c r="AG970" s="1" t="s">
        <v>47</v>
      </c>
      <c r="AH970" s="1" t="s">
        <v>49</v>
      </c>
      <c r="AI970" s="1" t="s">
        <v>47</v>
      </c>
      <c r="AK970" s="1" t="s">
        <v>48</v>
      </c>
      <c r="AL970" s="1" t="s">
        <v>3334</v>
      </c>
    </row>
    <row r="971" spans="1:38">
      <c r="A971" s="1">
        <v>5248252</v>
      </c>
      <c r="B971" s="1" t="s">
        <v>3335</v>
      </c>
      <c r="C971" s="1" t="str">
        <f>"9781292021812"</f>
        <v>9781292021812</v>
      </c>
      <c r="D971" s="1" t="str">
        <f>"9781292035024"</f>
        <v>9781292035024</v>
      </c>
      <c r="E971" s="1" t="s">
        <v>52</v>
      </c>
      <c r="F971" s="1" t="s">
        <v>40</v>
      </c>
      <c r="G971" s="3">
        <v>41513</v>
      </c>
      <c r="H971" s="3">
        <v>1</v>
      </c>
      <c r="I971" s="1" t="s">
        <v>41</v>
      </c>
      <c r="J971" s="1">
        <v>2</v>
      </c>
      <c r="L971" s="1" t="s">
        <v>3336</v>
      </c>
      <c r="Q971" s="1" t="s">
        <v>46</v>
      </c>
      <c r="R971" s="1" t="s">
        <v>47</v>
      </c>
      <c r="S971" s="1" t="s">
        <v>47</v>
      </c>
      <c r="T971" s="1" t="s">
        <v>48</v>
      </c>
      <c r="U971" s="1" t="s">
        <v>47</v>
      </c>
      <c r="V971" s="1" t="s">
        <v>47</v>
      </c>
      <c r="W971" s="1" t="s">
        <v>47</v>
      </c>
      <c r="Z971" s="1">
        <v>0</v>
      </c>
      <c r="AB971" s="1" t="s">
        <v>47</v>
      </c>
      <c r="AD971" s="1">
        <v>527010</v>
      </c>
      <c r="AF971" s="1" t="s">
        <v>47</v>
      </c>
      <c r="AG971" s="1" t="s">
        <v>47</v>
      </c>
      <c r="AH971" s="1" t="s">
        <v>49</v>
      </c>
      <c r="AI971" s="1" t="s">
        <v>47</v>
      </c>
      <c r="AK971" s="1" t="s">
        <v>48</v>
      </c>
      <c r="AL971" s="1" t="s">
        <v>3337</v>
      </c>
    </row>
    <row r="972" spans="1:38">
      <c r="A972" s="1">
        <v>5248253</v>
      </c>
      <c r="B972" s="1" t="s">
        <v>1372</v>
      </c>
      <c r="C972" s="1" t="str">
        <f>"9781292021836"</f>
        <v>9781292021836</v>
      </c>
      <c r="D972" s="1" t="str">
        <f>"9781292035048"</f>
        <v>9781292035048</v>
      </c>
      <c r="E972" s="1" t="s">
        <v>52</v>
      </c>
      <c r="F972" s="1" t="s">
        <v>40</v>
      </c>
      <c r="G972" s="3">
        <v>41513</v>
      </c>
      <c r="H972" s="3">
        <v>1</v>
      </c>
      <c r="I972" s="1" t="s">
        <v>41</v>
      </c>
      <c r="J972" s="1">
        <v>4</v>
      </c>
      <c r="L972" s="1" t="s">
        <v>975</v>
      </c>
      <c r="Q972" s="1" t="s">
        <v>46</v>
      </c>
      <c r="R972" s="1" t="s">
        <v>47</v>
      </c>
      <c r="S972" s="1" t="s">
        <v>47</v>
      </c>
      <c r="T972" s="1" t="s">
        <v>48</v>
      </c>
      <c r="U972" s="1" t="s">
        <v>47</v>
      </c>
      <c r="V972" s="1" t="s">
        <v>47</v>
      </c>
      <c r="W972" s="1" t="s">
        <v>47</v>
      </c>
      <c r="Z972" s="1">
        <v>0</v>
      </c>
      <c r="AB972" s="1" t="s">
        <v>47</v>
      </c>
      <c r="AD972" s="1">
        <v>527019</v>
      </c>
      <c r="AF972" s="1" t="s">
        <v>47</v>
      </c>
      <c r="AG972" s="1" t="s">
        <v>47</v>
      </c>
      <c r="AH972" s="1" t="s">
        <v>49</v>
      </c>
      <c r="AI972" s="1" t="s">
        <v>47</v>
      </c>
      <c r="AK972" s="1" t="s">
        <v>48</v>
      </c>
      <c r="AL972" s="1" t="s">
        <v>3338</v>
      </c>
    </row>
    <row r="973" spans="1:38">
      <c r="A973" s="1">
        <v>5248255</v>
      </c>
      <c r="B973" s="1" t="s">
        <v>1058</v>
      </c>
      <c r="C973" s="1" t="str">
        <f>"9781292022659"</f>
        <v>9781292022659</v>
      </c>
      <c r="D973" s="1" t="str">
        <f>"9781292035857"</f>
        <v>9781292035857</v>
      </c>
      <c r="E973" s="1" t="s">
        <v>52</v>
      </c>
      <c r="F973" s="1" t="s">
        <v>40</v>
      </c>
      <c r="G973" s="3">
        <v>41514</v>
      </c>
      <c r="H973" s="3">
        <v>1</v>
      </c>
      <c r="I973" s="1" t="s">
        <v>41</v>
      </c>
      <c r="J973" s="1">
        <v>12</v>
      </c>
      <c r="L973" s="1" t="s">
        <v>3339</v>
      </c>
      <c r="Q973" s="1" t="s">
        <v>46</v>
      </c>
      <c r="R973" s="1" t="s">
        <v>47</v>
      </c>
      <c r="S973" s="1" t="s">
        <v>47</v>
      </c>
      <c r="T973" s="1" t="s">
        <v>48</v>
      </c>
      <c r="U973" s="1" t="s">
        <v>47</v>
      </c>
      <c r="V973" s="1" t="s">
        <v>47</v>
      </c>
      <c r="W973" s="1" t="s">
        <v>47</v>
      </c>
      <c r="Z973" s="1">
        <v>0</v>
      </c>
      <c r="AB973" s="1" t="s">
        <v>47</v>
      </c>
      <c r="AD973" s="1">
        <v>527045</v>
      </c>
      <c r="AF973" s="1" t="s">
        <v>47</v>
      </c>
      <c r="AG973" s="1" t="s">
        <v>47</v>
      </c>
      <c r="AH973" s="1" t="s">
        <v>49</v>
      </c>
      <c r="AI973" s="1" t="s">
        <v>47</v>
      </c>
      <c r="AK973" s="1" t="s">
        <v>48</v>
      </c>
      <c r="AL973" s="1" t="s">
        <v>3340</v>
      </c>
    </row>
    <row r="974" spans="1:38">
      <c r="A974" s="1">
        <v>5248256</v>
      </c>
      <c r="B974" s="1" t="s">
        <v>3341</v>
      </c>
      <c r="C974" s="1" t="str">
        <f>"9781292022932"</f>
        <v>9781292022932</v>
      </c>
      <c r="D974" s="1" t="str">
        <f>"9781292036113"</f>
        <v>9781292036113</v>
      </c>
      <c r="E974" s="1" t="s">
        <v>52</v>
      </c>
      <c r="F974" s="1" t="s">
        <v>40</v>
      </c>
      <c r="G974" s="3">
        <v>41514</v>
      </c>
      <c r="H974" s="3">
        <v>1</v>
      </c>
      <c r="I974" s="1" t="s">
        <v>41</v>
      </c>
      <c r="J974" s="1">
        <v>2</v>
      </c>
      <c r="L974" s="1" t="s">
        <v>3342</v>
      </c>
      <c r="Q974" s="1" t="s">
        <v>46</v>
      </c>
      <c r="R974" s="1" t="s">
        <v>47</v>
      </c>
      <c r="S974" s="1" t="s">
        <v>47</v>
      </c>
      <c r="T974" s="1" t="s">
        <v>48</v>
      </c>
      <c r="U974" s="1" t="s">
        <v>47</v>
      </c>
      <c r="V974" s="1" t="s">
        <v>47</v>
      </c>
      <c r="W974" s="1" t="s">
        <v>47</v>
      </c>
      <c r="Z974" s="1">
        <v>0</v>
      </c>
      <c r="AB974" s="1" t="s">
        <v>47</v>
      </c>
      <c r="AD974" s="1">
        <v>527054</v>
      </c>
      <c r="AF974" s="1" t="s">
        <v>47</v>
      </c>
      <c r="AG974" s="1" t="s">
        <v>47</v>
      </c>
      <c r="AH974" s="1" t="s">
        <v>49</v>
      </c>
      <c r="AI974" s="1" t="s">
        <v>47</v>
      </c>
      <c r="AK974" s="1" t="s">
        <v>48</v>
      </c>
      <c r="AL974" s="1" t="s">
        <v>3343</v>
      </c>
    </row>
    <row r="975" spans="1:38">
      <c r="A975" s="1">
        <v>5248257</v>
      </c>
      <c r="B975" s="1" t="s">
        <v>1622</v>
      </c>
      <c r="C975" s="1" t="str">
        <f>"9781292023762"</f>
        <v>9781292023762</v>
      </c>
      <c r="D975" s="1" t="str">
        <f>"9781292036892"</f>
        <v>9781292036892</v>
      </c>
      <c r="E975" s="1" t="s">
        <v>52</v>
      </c>
      <c r="F975" s="1" t="s">
        <v>40</v>
      </c>
      <c r="G975" s="3">
        <v>41515</v>
      </c>
      <c r="H975" s="3">
        <v>1</v>
      </c>
      <c r="I975" s="1" t="s">
        <v>41</v>
      </c>
      <c r="J975" s="1">
        <v>12</v>
      </c>
      <c r="L975" s="1" t="s">
        <v>3344</v>
      </c>
      <c r="Q975" s="1" t="s">
        <v>46</v>
      </c>
      <c r="R975" s="1" t="s">
        <v>47</v>
      </c>
      <c r="S975" s="1" t="s">
        <v>47</v>
      </c>
      <c r="T975" s="1" t="s">
        <v>48</v>
      </c>
      <c r="U975" s="1" t="s">
        <v>47</v>
      </c>
      <c r="V975" s="1" t="s">
        <v>47</v>
      </c>
      <c r="W975" s="1" t="s">
        <v>47</v>
      </c>
      <c r="Z975" s="1">
        <v>0</v>
      </c>
      <c r="AB975" s="1" t="s">
        <v>47</v>
      </c>
      <c r="AD975" s="1">
        <v>527069</v>
      </c>
      <c r="AF975" s="1" t="s">
        <v>47</v>
      </c>
      <c r="AG975" s="1" t="s">
        <v>47</v>
      </c>
      <c r="AH975" s="1" t="s">
        <v>49</v>
      </c>
      <c r="AI975" s="1" t="s">
        <v>47</v>
      </c>
      <c r="AK975" s="1" t="s">
        <v>48</v>
      </c>
      <c r="AL975" s="1" t="s">
        <v>3345</v>
      </c>
    </row>
    <row r="976" spans="1:38">
      <c r="A976" s="1">
        <v>5248258</v>
      </c>
      <c r="B976" s="1" t="s">
        <v>3346</v>
      </c>
      <c r="C976" s="1" t="str">
        <f>"9781292023069"</f>
        <v>9781292023069</v>
      </c>
      <c r="D976" s="1" t="str">
        <f>"9781292036243"</f>
        <v>9781292036243</v>
      </c>
      <c r="E976" s="1" t="s">
        <v>52</v>
      </c>
      <c r="F976" s="1" t="s">
        <v>40</v>
      </c>
      <c r="G976" s="3">
        <v>41514</v>
      </c>
      <c r="H976" s="3">
        <v>1</v>
      </c>
      <c r="I976" s="1" t="s">
        <v>41</v>
      </c>
      <c r="J976" s="1">
        <v>12</v>
      </c>
      <c r="L976" s="1" t="s">
        <v>3347</v>
      </c>
      <c r="Q976" s="1" t="s">
        <v>46</v>
      </c>
      <c r="R976" s="1" t="s">
        <v>47</v>
      </c>
      <c r="S976" s="1" t="s">
        <v>47</v>
      </c>
      <c r="T976" s="1" t="s">
        <v>48</v>
      </c>
      <c r="U976" s="1" t="s">
        <v>47</v>
      </c>
      <c r="V976" s="1" t="s">
        <v>47</v>
      </c>
      <c r="W976" s="1" t="s">
        <v>47</v>
      </c>
      <c r="Z976" s="1">
        <v>0</v>
      </c>
      <c r="AB976" s="1" t="s">
        <v>47</v>
      </c>
      <c r="AD976" s="1">
        <v>527073</v>
      </c>
      <c r="AF976" s="1" t="s">
        <v>47</v>
      </c>
      <c r="AG976" s="1" t="s">
        <v>47</v>
      </c>
      <c r="AH976" s="1" t="s">
        <v>49</v>
      </c>
      <c r="AI976" s="1" t="s">
        <v>47</v>
      </c>
      <c r="AK976" s="1" t="s">
        <v>48</v>
      </c>
      <c r="AL976" s="1" t="s">
        <v>3348</v>
      </c>
    </row>
    <row r="977" spans="1:38">
      <c r="A977" s="1">
        <v>5248261</v>
      </c>
      <c r="B977" s="1" t="s">
        <v>3349</v>
      </c>
      <c r="C977" s="1" t="str">
        <f>"9781292022703"</f>
        <v>9781292022703</v>
      </c>
      <c r="D977" s="1" t="str">
        <f>"9781292035901"</f>
        <v>9781292035901</v>
      </c>
      <c r="E977" s="1" t="s">
        <v>52</v>
      </c>
      <c r="F977" s="1" t="s">
        <v>40</v>
      </c>
      <c r="G977" s="3">
        <v>41514</v>
      </c>
      <c r="H977" s="3">
        <v>1</v>
      </c>
      <c r="I977" s="1" t="s">
        <v>41</v>
      </c>
      <c r="J977" s="1">
        <v>6</v>
      </c>
      <c r="L977" s="1" t="s">
        <v>2404</v>
      </c>
      <c r="Q977" s="1" t="s">
        <v>46</v>
      </c>
      <c r="R977" s="1" t="s">
        <v>47</v>
      </c>
      <c r="S977" s="1" t="s">
        <v>47</v>
      </c>
      <c r="T977" s="1" t="s">
        <v>48</v>
      </c>
      <c r="U977" s="1" t="s">
        <v>47</v>
      </c>
      <c r="V977" s="1" t="s">
        <v>47</v>
      </c>
      <c r="W977" s="1" t="s">
        <v>47</v>
      </c>
      <c r="Z977" s="1">
        <v>0</v>
      </c>
      <c r="AB977" s="1" t="s">
        <v>47</v>
      </c>
      <c r="AD977" s="1">
        <v>527088</v>
      </c>
      <c r="AF977" s="1" t="s">
        <v>47</v>
      </c>
      <c r="AG977" s="1" t="s">
        <v>47</v>
      </c>
      <c r="AH977" s="1" t="s">
        <v>49</v>
      </c>
      <c r="AI977" s="1" t="s">
        <v>47</v>
      </c>
      <c r="AK977" s="1" t="s">
        <v>48</v>
      </c>
      <c r="AL977" s="1" t="s">
        <v>3350</v>
      </c>
    </row>
    <row r="978" spans="1:38">
      <c r="A978" s="1">
        <v>5248262</v>
      </c>
      <c r="B978" s="1" t="s">
        <v>3351</v>
      </c>
      <c r="C978" s="1" t="str">
        <f>"9781292023014"</f>
        <v>9781292023014</v>
      </c>
      <c r="D978" s="1" t="str">
        <f>"9781292036199"</f>
        <v>9781292036199</v>
      </c>
      <c r="E978" s="1" t="s">
        <v>52</v>
      </c>
      <c r="F978" s="1" t="s">
        <v>40</v>
      </c>
      <c r="G978" s="3">
        <v>41514</v>
      </c>
      <c r="H978" s="3">
        <v>1</v>
      </c>
      <c r="I978" s="1" t="s">
        <v>41</v>
      </c>
      <c r="J978" s="1">
        <v>14</v>
      </c>
      <c r="L978" s="1" t="s">
        <v>3352</v>
      </c>
      <c r="Q978" s="1" t="s">
        <v>46</v>
      </c>
      <c r="R978" s="1" t="s">
        <v>47</v>
      </c>
      <c r="S978" s="1" t="s">
        <v>47</v>
      </c>
      <c r="T978" s="1" t="s">
        <v>48</v>
      </c>
      <c r="U978" s="1" t="s">
        <v>47</v>
      </c>
      <c r="V978" s="1" t="s">
        <v>47</v>
      </c>
      <c r="W978" s="1" t="s">
        <v>47</v>
      </c>
      <c r="Z978" s="1">
        <v>0</v>
      </c>
      <c r="AB978" s="1" t="s">
        <v>47</v>
      </c>
      <c r="AD978" s="1">
        <v>527091</v>
      </c>
      <c r="AF978" s="1" t="s">
        <v>47</v>
      </c>
      <c r="AG978" s="1" t="s">
        <v>47</v>
      </c>
      <c r="AH978" s="1" t="s">
        <v>49</v>
      </c>
      <c r="AI978" s="1" t="s">
        <v>47</v>
      </c>
      <c r="AK978" s="1" t="s">
        <v>48</v>
      </c>
      <c r="AL978" s="1" t="s">
        <v>3353</v>
      </c>
    </row>
    <row r="979" spans="1:38">
      <c r="A979" s="1">
        <v>5248265</v>
      </c>
      <c r="B979" s="1" t="s">
        <v>3354</v>
      </c>
      <c r="C979" s="1" t="str">
        <f>"9781292026411"</f>
        <v>9781292026411</v>
      </c>
      <c r="D979" s="1" t="str">
        <f>"9781292038803"</f>
        <v>9781292038803</v>
      </c>
      <c r="E979" s="1" t="s">
        <v>52</v>
      </c>
      <c r="F979" s="1" t="s">
        <v>40</v>
      </c>
      <c r="G979" s="3">
        <v>41515</v>
      </c>
      <c r="H979" s="3">
        <v>1</v>
      </c>
      <c r="I979" s="1" t="s">
        <v>41</v>
      </c>
      <c r="J979" s="1">
        <v>6</v>
      </c>
      <c r="L979" s="1" t="s">
        <v>3355</v>
      </c>
      <c r="Q979" s="1" t="s">
        <v>46</v>
      </c>
      <c r="R979" s="1" t="s">
        <v>47</v>
      </c>
      <c r="S979" s="1" t="s">
        <v>47</v>
      </c>
      <c r="T979" s="1" t="s">
        <v>48</v>
      </c>
      <c r="U979" s="1" t="s">
        <v>47</v>
      </c>
      <c r="V979" s="1" t="s">
        <v>47</v>
      </c>
      <c r="W979" s="1" t="s">
        <v>47</v>
      </c>
      <c r="Z979" s="1">
        <v>0</v>
      </c>
      <c r="AB979" s="1" t="s">
        <v>47</v>
      </c>
      <c r="AD979" s="1">
        <v>527118</v>
      </c>
      <c r="AF979" s="1" t="s">
        <v>47</v>
      </c>
      <c r="AG979" s="1" t="s">
        <v>47</v>
      </c>
      <c r="AH979" s="1" t="s">
        <v>49</v>
      </c>
      <c r="AI979" s="1" t="s">
        <v>47</v>
      </c>
      <c r="AK979" s="1" t="s">
        <v>48</v>
      </c>
      <c r="AL979" s="1" t="s">
        <v>3356</v>
      </c>
    </row>
    <row r="980" spans="1:38">
      <c r="A980" s="1">
        <v>5248266</v>
      </c>
      <c r="B980" s="1" t="s">
        <v>1437</v>
      </c>
      <c r="C980" s="1" t="str">
        <f>"9781292022819"</f>
        <v>9781292022819</v>
      </c>
      <c r="D980" s="1" t="str">
        <f>"9781292036014"</f>
        <v>9781292036014</v>
      </c>
      <c r="E980" s="1" t="s">
        <v>52</v>
      </c>
      <c r="F980" s="1" t="s">
        <v>40</v>
      </c>
      <c r="G980" s="3">
        <v>41514</v>
      </c>
      <c r="H980" s="3">
        <v>1</v>
      </c>
      <c r="I980" s="1" t="s">
        <v>41</v>
      </c>
      <c r="J980" s="1">
        <v>7</v>
      </c>
      <c r="L980" s="1" t="s">
        <v>3357</v>
      </c>
      <c r="Q980" s="1" t="s">
        <v>46</v>
      </c>
      <c r="R980" s="1" t="s">
        <v>47</v>
      </c>
      <c r="S980" s="1" t="s">
        <v>47</v>
      </c>
      <c r="T980" s="1" t="s">
        <v>48</v>
      </c>
      <c r="U980" s="1" t="s">
        <v>47</v>
      </c>
      <c r="V980" s="1" t="s">
        <v>47</v>
      </c>
      <c r="W980" s="1" t="s">
        <v>47</v>
      </c>
      <c r="Z980" s="1">
        <v>0</v>
      </c>
      <c r="AB980" s="1" t="s">
        <v>47</v>
      </c>
      <c r="AD980" s="1">
        <v>527119</v>
      </c>
      <c r="AF980" s="1" t="s">
        <v>47</v>
      </c>
      <c r="AG980" s="1" t="s">
        <v>47</v>
      </c>
      <c r="AH980" s="1" t="s">
        <v>49</v>
      </c>
      <c r="AI980" s="1" t="s">
        <v>47</v>
      </c>
      <c r="AK980" s="1" t="s">
        <v>48</v>
      </c>
      <c r="AL980" s="1" t="s">
        <v>3358</v>
      </c>
    </row>
    <row r="981" spans="1:38">
      <c r="A981" s="1">
        <v>5248268</v>
      </c>
      <c r="B981" s="1" t="s">
        <v>3359</v>
      </c>
      <c r="C981" s="1" t="str">
        <f>"9781292022727"</f>
        <v>9781292022727</v>
      </c>
      <c r="D981" s="1" t="str">
        <f>"9781292035925"</f>
        <v>9781292035925</v>
      </c>
      <c r="E981" s="1" t="s">
        <v>52</v>
      </c>
      <c r="F981" s="1" t="s">
        <v>40</v>
      </c>
      <c r="G981" s="3">
        <v>41514</v>
      </c>
      <c r="H981" s="3">
        <v>1</v>
      </c>
      <c r="I981" s="1" t="s">
        <v>41</v>
      </c>
      <c r="J981" s="1">
        <v>8</v>
      </c>
      <c r="L981" s="1" t="s">
        <v>2558</v>
      </c>
      <c r="Q981" s="1" t="s">
        <v>46</v>
      </c>
      <c r="R981" s="1" t="s">
        <v>47</v>
      </c>
      <c r="S981" s="1" t="s">
        <v>47</v>
      </c>
      <c r="T981" s="1" t="s">
        <v>48</v>
      </c>
      <c r="U981" s="1" t="s">
        <v>47</v>
      </c>
      <c r="V981" s="1" t="s">
        <v>47</v>
      </c>
      <c r="W981" s="1" t="s">
        <v>47</v>
      </c>
      <c r="Z981" s="1">
        <v>0</v>
      </c>
      <c r="AB981" s="1" t="s">
        <v>47</v>
      </c>
      <c r="AD981" s="1">
        <v>527126</v>
      </c>
      <c r="AF981" s="1" t="s">
        <v>47</v>
      </c>
      <c r="AG981" s="1" t="s">
        <v>47</v>
      </c>
      <c r="AH981" s="1" t="s">
        <v>49</v>
      </c>
      <c r="AI981" s="1" t="s">
        <v>47</v>
      </c>
      <c r="AK981" s="1" t="s">
        <v>48</v>
      </c>
      <c r="AL981" s="1" t="s">
        <v>3360</v>
      </c>
    </row>
    <row r="982" spans="1:38">
      <c r="A982" s="1">
        <v>5248269</v>
      </c>
      <c r="B982" s="1" t="s">
        <v>3361</v>
      </c>
      <c r="C982" s="1" t="str">
        <f>"9781292025605"</f>
        <v>9781292025605</v>
      </c>
      <c r="D982" s="1" t="str">
        <f>"9781292038032"</f>
        <v>9781292038032</v>
      </c>
      <c r="E982" s="1" t="s">
        <v>52</v>
      </c>
      <c r="F982" s="1" t="s">
        <v>40</v>
      </c>
      <c r="G982" s="3">
        <v>41515</v>
      </c>
      <c r="H982" s="3">
        <v>1</v>
      </c>
      <c r="I982" s="1" t="s">
        <v>41</v>
      </c>
      <c r="J982" s="1">
        <v>6</v>
      </c>
      <c r="L982" s="1" t="s">
        <v>3362</v>
      </c>
      <c r="Q982" s="1" t="s">
        <v>46</v>
      </c>
      <c r="R982" s="1" t="s">
        <v>47</v>
      </c>
      <c r="S982" s="1" t="s">
        <v>47</v>
      </c>
      <c r="T982" s="1" t="s">
        <v>48</v>
      </c>
      <c r="U982" s="1" t="s">
        <v>47</v>
      </c>
      <c r="V982" s="1" t="s">
        <v>47</v>
      </c>
      <c r="W982" s="1" t="s">
        <v>47</v>
      </c>
      <c r="Z982" s="1">
        <v>0</v>
      </c>
      <c r="AB982" s="1" t="s">
        <v>47</v>
      </c>
      <c r="AD982" s="1">
        <v>527132</v>
      </c>
      <c r="AF982" s="1" t="s">
        <v>47</v>
      </c>
      <c r="AG982" s="1" t="s">
        <v>47</v>
      </c>
      <c r="AH982" s="1" t="s">
        <v>49</v>
      </c>
      <c r="AI982" s="1" t="s">
        <v>47</v>
      </c>
      <c r="AK982" s="1" t="s">
        <v>48</v>
      </c>
      <c r="AL982" s="1" t="s">
        <v>3363</v>
      </c>
    </row>
    <row r="983" spans="1:38">
      <c r="A983" s="1">
        <v>5248273</v>
      </c>
      <c r="B983" s="1" t="s">
        <v>3364</v>
      </c>
      <c r="C983" s="1" t="str">
        <f>"9781292024967"</f>
        <v>9781292024967</v>
      </c>
      <c r="D983" s="1" t="str">
        <f>"9781292037592"</f>
        <v>9781292037592</v>
      </c>
      <c r="E983" s="1" t="s">
        <v>52</v>
      </c>
      <c r="F983" s="1" t="s">
        <v>40</v>
      </c>
      <c r="G983" s="3">
        <v>41515</v>
      </c>
      <c r="H983" s="3">
        <v>1</v>
      </c>
      <c r="I983" s="1" t="s">
        <v>41</v>
      </c>
      <c r="J983" s="1">
        <v>7</v>
      </c>
      <c r="L983" s="1" t="s">
        <v>3365</v>
      </c>
      <c r="Q983" s="1" t="s">
        <v>46</v>
      </c>
      <c r="R983" s="1" t="s">
        <v>47</v>
      </c>
      <c r="S983" s="1" t="s">
        <v>47</v>
      </c>
      <c r="T983" s="1" t="s">
        <v>48</v>
      </c>
      <c r="U983" s="1" t="s">
        <v>47</v>
      </c>
      <c r="V983" s="1" t="s">
        <v>47</v>
      </c>
      <c r="W983" s="1" t="s">
        <v>47</v>
      </c>
      <c r="Z983" s="1">
        <v>0</v>
      </c>
      <c r="AB983" s="1" t="s">
        <v>48</v>
      </c>
      <c r="AD983" s="1">
        <v>527196</v>
      </c>
      <c r="AF983" s="1" t="s">
        <v>47</v>
      </c>
      <c r="AG983" s="1" t="s">
        <v>47</v>
      </c>
      <c r="AH983" s="1" t="s">
        <v>49</v>
      </c>
      <c r="AI983" s="1" t="s">
        <v>47</v>
      </c>
      <c r="AK983" s="1" t="s">
        <v>48</v>
      </c>
      <c r="AL983" s="1" t="s">
        <v>3366</v>
      </c>
    </row>
  </sheetData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培生-Southeast University - seucn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modified xsi:type="dcterms:W3CDTF">2020-12-02T06:03:30Z</dcterms:modified>
</cp:coreProperties>
</file>